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ssumptions" sheetId="1" state="visible" r:id="rId3"/>
    <sheet name="10-Year Model" sheetId="2" state="visible" r:id="rId4"/>
    <sheet name="New Tecumseth" sheetId="3" state="visible" r:id="rId5"/>
    <sheet name="Wastewater (WW chapter)" sheetId="4" state="visible" r:id="rId6"/>
    <sheet name="Notes" sheetId="5" state="visible" r:id="rId7"/>
    <sheet name="Population Projections" sheetId="6" state="visible" r:id="rId8"/>
    <sheet name="Chart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<sst xmlns="http://schemas.openxmlformats.org/spreadsheetml/2006/main" count="353" uniqueCount="311">
  <si>
    <t xml:space="preserve">South Georgian Bay MSC — Water Utility: Model Assumptions</t>
  </si>
  <si>
    <t xml:space="preserve">Legend:  BLUE = editable input   ·   YELLOW = key assumption to validate   ·   BLACK = calculated. Edit only column B.</t>
  </si>
  <si>
    <t xml:space="preserve">VOLUME &amp; GROWTH</t>
  </si>
  <si>
    <t xml:space="preserve">Base billed volume, 2027 (m³/yr)</t>
  </si>
  <si>
    <t xml:space="preserve">Barker plant delivered ~7.2M m³/yr (Town of Collingwood 2024 Annual Summary Report).</t>
  </si>
  <si>
    <t xml:space="preserve">Organic growth rate (%/yr)</t>
  </si>
  <si>
    <t xml:space="preserve">ASSUMPTION — regional population growth.</t>
  </si>
  <si>
    <t xml:space="preserve">Nottawa village volume (m³/yr)</t>
  </si>
  <si>
    <t xml:space="preserve">ASSUMPTION — existing residents who connect (~2028).</t>
  </si>
  <si>
    <t xml:space="preserve">Nottawa village online year</t>
  </si>
  <si>
    <t xml:space="preserve">Batteaux spur ~2027–28.</t>
  </si>
  <si>
    <t xml:space="preserve">Nottawa — new homes (count)</t>
  </si>
  <si>
    <t xml:space="preserve">Your input — the subdivision.</t>
  </si>
  <si>
    <t xml:space="preserve">Water use per home (m³/yr)</t>
  </si>
  <si>
    <t xml:space="preserve">ASSUMPTION — standard planning rate.</t>
  </si>
  <si>
    <t xml:space="preserve">Nottawa — 500 homes online year</t>
  </si>
  <si>
    <t xml:space="preserve">Your input — 500 homes come on in 2032.</t>
  </si>
  <si>
    <t xml:space="preserve">TBM full incremental volume (m³/yr)</t>
  </si>
  <si>
    <t xml:space="preserve">ASSUMPTION — TBM full reserved ~10,000 m³/day net of current draw.</t>
  </si>
  <si>
    <t xml:space="preserve">TBM ramp start year</t>
  </si>
  <si>
    <t xml:space="preserve">Physical draw ramp only. Under a signed take-or-pay commitment, billing is on RESERVED capacity from commissioning (see toggle B16), not on the ramp.</t>
  </si>
  <si>
    <t xml:space="preserve">TBM full onboard year</t>
  </si>
  <si>
    <t xml:space="preserve">Physical draw ramp only — see note on B14 and the commitment toggle B16.</t>
  </si>
  <si>
    <t xml:space="preserve">TBM signed capacity commitment (1 = signed, 0 = not)</t>
  </si>
  <si>
    <t xml:space="preserve">NO FIRM COMMITMENT, NO SHOVEL. 0 removes the TBM connection, its debt AND its revenue entirely — the Simcoe County system stands alone. 1 = TBM has formally committed (take-or-pay), which turns on the trunk, its 40-yr debt, and its reserved-capacity revenue together.</t>
  </si>
  <si>
    <t xml:space="preserve">TARIFF &amp; REVENUE</t>
  </si>
  <si>
    <t xml:space="preserve">Wholesale tariff, 2027 ($/m³)</t>
  </si>
  <si>
    <t xml:space="preserve">ASSUMPTION — ~80% of ~$2.45 all-in. Real tariff = cost-of-service study (Ch.4).</t>
  </si>
  <si>
    <t xml:space="preserve">Tariff escalation — first 3 years (Collingwood's approved plan) (%/yr)</t>
  </si>
  <si>
    <t xml:space="preserve">Residents were ALREADY going to pay this. Collingwood's approved rate plan rises ~5–5.5%/yr; the MSC adopts that same 3-year path (2027→2030), then flattens. Not an MSC-imposed increase — the status-quo increase, captured.</t>
  </si>
  <si>
    <t xml:space="preserve">Tariff escalation — steady-state, year 4+ (%/yr)</t>
  </si>
  <si>
    <t xml:space="preserve">Applies from 2030 on, after the 3-year ramp above.</t>
  </si>
  <si>
    <t xml:space="preserve">Billing realization (%)</t>
  </si>
  <si>
    <t xml:space="preserve">New Tecumseth now on the standard tariff (see New Tecumseth tab), so 100% is justified. Lower only for non-revenue water if desired.</t>
  </si>
  <si>
    <t xml:space="preserve">OPERATING COSTS (annual) — plant O&amp;M anchored to Collingwood actuals</t>
  </si>
  <si>
    <t xml:space="preserve">Plant O&amp;M — labour ($)</t>
  </si>
  <si>
    <t xml:space="preserve">Operators, lab, supervision. Automated plant runs lean. Anchor: Collingwood 2024 Water Treatment = $2.12M all-in.</t>
  </si>
  <si>
    <t xml:space="preserve">Plant O&amp;M — maintenance ($)</t>
  </si>
  <si>
    <t xml:space="preserve">Parts, contracted services, equipment.</t>
  </si>
  <si>
    <t xml:space="preserve">Plant O&amp;M — other fixed ($)</t>
  </si>
  <si>
    <t xml:space="preserve">SCADA/software, insurance, building.</t>
  </si>
  <si>
    <t xml:space="preserve">Plant — chemicals &amp; power ($/m³)</t>
  </si>
  <si>
    <t xml:space="preserve">Variable, scales with volume.</t>
  </si>
  <si>
    <t xml:space="preserve">Transmission, boosters &amp; pumping energy ($)</t>
  </si>
  <si>
    <t xml:space="preserve">57 km trunk + boosters + energy to pump the west leg up to TBM (~$200k, grows with TBM). MSC operates; NT cost-shares capital.</t>
  </si>
  <si>
    <t xml:space="preserve">Board — 10 × $150k ($)</t>
  </si>
  <si>
    <t xml:space="preserve">Your input.</t>
  </si>
  <si>
    <t xml:space="preserve">Board allocation to water (%)</t>
  </si>
  <si>
    <t xml:space="preserve">ASSUMED 50% shared with wastewater.</t>
  </si>
  <si>
    <t xml:space="preserve">CEO ($)</t>
  </si>
  <si>
    <t xml:space="preserve">CFO + CIO + COO — 3 × $400k ($)</t>
  </si>
  <si>
    <t xml:space="preserve">Senior engineers — 10 × $300k ($)</t>
  </si>
  <si>
    <t xml:space="preserve">Management subtotal ($)</t>
  </si>
  <si>
    <t xml:space="preserve">Calculated.</t>
  </si>
  <si>
    <t xml:space="preserve">Management allocation to water (%)</t>
  </si>
  <si>
    <t xml:space="preserve">Your input — "/2 shared with wastewater."</t>
  </si>
  <si>
    <t xml:space="preserve">External engineering ($)</t>
  </si>
  <si>
    <t xml:space="preserve">External eng allocation to water (%)</t>
  </si>
  <si>
    <t xml:space="preserve">ASSUMED 100%.</t>
  </si>
  <si>
    <t xml:space="preserve">Overhead &amp; other ($)</t>
  </si>
  <si>
    <t xml:space="preserve">Overhead allocation to water (%)</t>
  </si>
  <si>
    <t xml:space="preserve">Your input — "/2."</t>
  </si>
  <si>
    <t xml:space="preserve">Opex escalation (%/yr)</t>
  </si>
  <si>
    <t xml:space="preserve">ASSUMPTION.</t>
  </si>
  <si>
    <t xml:space="preserve">CAPITAL &amp; FINANCING</t>
  </si>
  <si>
    <t xml:space="preserve">Plant purchase ($)</t>
  </si>
  <si>
    <t xml:space="preserve">Your input — buy-out of BOTH towns' invested capital: New Tecumseth $75.6M + Collingwood $44.4M ≈ $120M. Original 1998 plant transfers for a nominal $1.</t>
  </si>
  <si>
    <t xml:space="preserve">Nottawa pipe ($)</t>
  </si>
  <si>
    <t xml:space="preserve">Your input — assumed to cover the Batteaux connection, a village reservoir and a booster/pressure station (Ch.2 gold-plated build ~$20M; basic ~$4M).</t>
  </si>
  <si>
    <t xml:space="preserve">Nottawa capital online year</t>
  </si>
  <si>
    <t xml:space="preserve">Debt interest rate (%)</t>
  </si>
  <si>
    <t xml:space="preserve">Amortization (years)</t>
  </si>
  <si>
    <t xml:space="preserve">Per plan — 40-year financing.</t>
  </si>
  <si>
    <t xml:space="preserve">Annuity factor (calc)</t>
  </si>
  <si>
    <t xml:space="preserve">Level debt-service factor.</t>
  </si>
  <si>
    <t xml:space="preserve">Plant debt start year (commissioning)</t>
  </si>
  <si>
    <t xml:space="preserve">Construction interest capitalized; acquisition debt service begins at commissioning.</t>
  </si>
  <si>
    <t xml:space="preserve">RECOMMENDED ADDITIONS (memo — not in base surplus)</t>
  </si>
  <si>
    <t xml:space="preserve">Capital renewal reserve ($/yr)</t>
  </si>
  <si>
    <t xml:space="preserve">RECOMMENDED — sinking fund.</t>
  </si>
  <si>
    <t xml:space="preserve">TBM — transmission main length (km)</t>
  </si>
  <si>
    <t xml:space="preserve">~11 km, Barker plant to Mountain Road boundary (Hwy 26).</t>
  </si>
  <si>
    <t xml:space="preserve">TBM — cost per metre ($/m)</t>
  </si>
  <si>
    <t xml:space="preserve">~500 mm main, highway corridor. Range $2,000-3,500.</t>
  </si>
  <si>
    <t xml:space="preserve">TBM — corridor works (% of pipe cost)</t>
  </si>
  <si>
    <t xml:space="preserve">Trench, restoration, mobilization — the shareable part.</t>
  </si>
  <si>
    <t xml:space="preserve">TBM — twin with wastewater? (1=yes,0=no)</t>
  </si>
  <si>
    <t xml:space="preserve">Thornbury WW plant to be on the same Hwy 26 trench; water pays half the corridor.</t>
  </si>
  <si>
    <t xml:space="preserve">TBM — water pipe cost ($)</t>
  </si>
  <si>
    <t xml:space="preserve">Computed = pipe + water share of corridor.</t>
  </si>
  <si>
    <t xml:space="preserve">TBM — transfer pumping station ($)</t>
  </si>
  <si>
    <t xml:space="preserve">Water-only (not shared with wastewater).</t>
  </si>
  <si>
    <t xml:space="preserve">TBM — terminal storage reservoir ($)</t>
  </si>
  <si>
    <t xml:space="preserve">STORAGE IN — reliability buffer; answers the objection that sank the Stayner connection.</t>
  </si>
  <si>
    <t xml:space="preserve">TBM — engineering + contingency (%)</t>
  </si>
  <si>
    <t xml:space="preserve">Applied to the works above.</t>
  </si>
  <si>
    <t xml:space="preserve">TBM connection capex — total ($)</t>
  </si>
  <si>
    <t xml:space="preserve">Computed total — feeds the model (row 40).</t>
  </si>
  <si>
    <t xml:space="preserve">TBM connection online year</t>
  </si>
  <si>
    <t xml:space="preserve">ASSUMPTION — ahead of 2030 onboarding.</t>
  </si>
  <si>
    <t xml:space="preserve">DEVELOPMENT CHARGES</t>
  </si>
  <si>
    <t xml:space="preserve">Regional-capacity DC per connection — MSC portion ($)</t>
  </si>
  <si>
    <t xml:space="preserve">The REGIONAL-CAPACITY portion of the water DC only — plant capacity + the regional transmission backbone the MSC owns and builds. The LOCAL trunk and distribution portion of the DC stays with the town, which builds those local works. Benchmark for the MSC portion: Collingwood water-treatment DC ~$4,641/home after the provincial grant (Ch.2).</t>
  </si>
  <si>
    <t xml:space="preserve">SUPPORT-FUNCTIONS SOURCING (scenario) — HR, IT, procurement, finance-ops</t>
  </si>
  <si>
    <t xml:space="preserve">Support functions (1 = in-house · 2 = operator-provided)</t>
  </si>
  <si>
    <t xml:space="preserve">Toggle. 2 = the operator provides shared services; in-house overhead and the CIO role fold into one at-cost fee.</t>
  </si>
  <si>
    <t xml:space="preserve">Shared-services fee — operator, AT COST ($/yr, whole corporation)</t>
  </si>
  <si>
    <t xml:space="preserve">HR, IT, procurement, finance-ops, back office. Provided AT COST — no operator margin (per Ron). Replaces in-house Overhead ($1.0M) + CIO ($0.4M) ≈ $1.4M; the ~$0.2M gap is the operator's scale, passed through.</t>
  </si>
  <si>
    <t xml:space="preserve">CIO / IT leadership stripped from management when contracted ($)</t>
  </si>
  <si>
    <t xml:space="preserve">The CIO (1 of the 3 C-suite roles) whose function moves to the operator's shared services when contracted — removed to avoid double-counting IT.</t>
  </si>
  <si>
    <t xml:space="preserve">Overhead &amp; support — effective ($)</t>
  </si>
  <si>
    <t xml:space="preserve">In-house overhead, or the at-cost shared-services fee when contracted. Feeds the overhead line, allocated 50/50 water/wastewater.</t>
  </si>
  <si>
    <t xml:space="preserve">Management subtotal — effective ($)</t>
  </si>
  <si>
    <t xml:space="preserve">Drops the CIO when support is contracted.</t>
  </si>
  <si>
    <t xml:space="preserve">South Georgian Bay MSC — Water Utility: 14-Year Cost &amp; Revenue Model 2027–2040 ($ nominal)</t>
  </si>
  <si>
    <t xml:space="preserve">Water-side only; corporate costs allocated per Assumptions. Green = linked to Assumptions.</t>
  </si>
  <si>
    <t xml:space="preserve">Fiscal year</t>
  </si>
  <si>
    <t xml:space="preserve">REVENUE</t>
  </si>
  <si>
    <t xml:space="preserve">Organic base volume</t>
  </si>
  <si>
    <t xml:space="preserve">m³</t>
  </si>
  <si>
    <t xml:space="preserve">Nottawa (village + 500 homes 2032)</t>
  </si>
  <si>
    <t xml:space="preserve">TBM reserved capacity (take-or-pay, if committed)</t>
  </si>
  <si>
    <t xml:space="preserve">Total billed volume</t>
  </si>
  <si>
    <t xml:space="preserve">Wholesale tariff</t>
  </si>
  <si>
    <t xml:space="preserve">$/m³</t>
  </si>
  <si>
    <t xml:space="preserve">Billing realization</t>
  </si>
  <si>
    <t xml:space="preserve">%</t>
  </si>
  <si>
    <t xml:space="preserve">Total revenue</t>
  </si>
  <si>
    <t xml:space="preserve">$</t>
  </si>
  <si>
    <t xml:space="preserve">OPERATING COSTS</t>
  </si>
  <si>
    <t xml:space="preserve">Plant O&amp;M — labour</t>
  </si>
  <si>
    <t xml:space="preserve">Plant O&amp;M — maintenance</t>
  </si>
  <si>
    <t xml:space="preserve">Plant O&amp;M — other fixed</t>
  </si>
  <si>
    <t xml:space="preserve">Plant — chemicals &amp; power (var)</t>
  </si>
  <si>
    <t xml:space="preserve">Transmission, boosters &amp; pumping</t>
  </si>
  <si>
    <t xml:space="preserve">Board (water share)</t>
  </si>
  <si>
    <t xml:space="preserve">Management (water share)</t>
  </si>
  <si>
    <t xml:space="preserve">External engineering</t>
  </si>
  <si>
    <t xml:space="preserve">Overhead &amp; support (water share)</t>
  </si>
  <si>
    <t xml:space="preserve">Total operating cost</t>
  </si>
  <si>
    <t xml:space="preserve">DEBT SERVICE (40-yr)</t>
  </si>
  <si>
    <t xml:space="preserve">Plant purchase debt</t>
  </si>
  <si>
    <t xml:space="preserve">Nottawa pipe debt</t>
  </si>
  <si>
    <t xml:space="preserve">Total debt service</t>
  </si>
  <si>
    <t xml:space="preserve">SURPLUS</t>
  </si>
  <si>
    <t xml:space="preserve">Operating surplus (Rev − Opex)</t>
  </si>
  <si>
    <t xml:space="preserve">Net surplus after debt</t>
  </si>
  <si>
    <t xml:space="preserve">Cumulative net surplus</t>
  </si>
  <si>
    <t xml:space="preserve">Unit cost (opex+debt)/vol</t>
  </si>
  <si>
    <t xml:space="preserve">RECOMMENDED ADDITIONS (memo)</t>
  </si>
  <si>
    <t xml:space="preserve">Capital renewal reserve</t>
  </si>
  <si>
    <t xml:space="preserve">TBM connection debt</t>
  </si>
  <si>
    <t xml:space="preserve">Fully-loaded surplus (after both)</t>
  </si>
  <si>
    <t xml:space="preserve">DEVELOPMENT CHARGES — regional-capacity portion to the MSC</t>
  </si>
  <si>
    <t xml:space="preserve">New connections — organic growth</t>
  </si>
  <si>
    <t xml:space="preserve">homes</t>
  </si>
  <si>
    <t xml:space="preserve">New connections — Nottawa (500 homes)</t>
  </si>
  <si>
    <t xml:space="preserve">Total new connections</t>
  </si>
  <si>
    <t xml:space="preserve">Regional-capacity DC per connection (MSC)</t>
  </si>
  <si>
    <t xml:space="preserve">Development charge revenue to MSC</t>
  </si>
  <si>
    <t xml:space="preserve">Net surplus INCLUDING development charges</t>
  </si>
  <si>
    <t xml:space="preserve">What goes where: the MSC provides only the REGIONAL water capacity — the plant and the regional transmission backbone — so it collects the regional-capacity portion of each new connection's development charge (modelled above). The TRUNK and local distribution needed to serve the new development are the TOWN's responsibility to build, funded by the local portion of the DC — which stays with the town and is NOT counted here. (DCs are legally restricted to growth capital, so this money funds growth infrastructure / reduces borrowing rather than general operating surplus; shown added to surplus for visibility.)</t>
  </si>
  <si>
    <t xml:space="preserve">New Tecumseth — Net Benefit of Joining the MSC</t>
  </si>
  <si>
    <t xml:space="preserve">Shows why "$0.62 vs $1.95" is misleading: NT's true cost today includes the debt on its own $75.6M. BLUE = editable · GREEN = linked.</t>
  </si>
  <si>
    <t xml:space="preserve">ASSUMPTIONS</t>
  </si>
  <si>
    <t xml:space="preserve">NT annual water volume (m³/yr)</t>
  </si>
  <si>
    <t xml:space="preserve">Approx. today's draw (~9,600 m³/day). Committed minimum is higher — validate.</t>
  </si>
  <si>
    <t xml:space="preserve">NT commodity + admin rate today ($/m³)</t>
  </si>
  <si>
    <t xml:space="preserve">$0.62 commodity + $0.04 admin (2022 agreement).</t>
  </si>
  <si>
    <t xml:space="preserve">NT plant-expansion debt ($)</t>
  </si>
  <si>
    <t xml:space="preserve">NT's share of the $270M expansion (financing paper).</t>
  </si>
  <si>
    <t xml:space="preserve">NT debt term (years)</t>
  </si>
  <si>
    <t xml:space="preserve">Typical municipal debenture.</t>
  </si>
  <si>
    <t xml:space="preserve">NT debt interest (%)</t>
  </si>
  <si>
    <t xml:space="preserve">Assumption.</t>
  </si>
  <si>
    <t xml:space="preserve">NT debt service ($/yr)</t>
  </si>
  <si>
    <t xml:space="preserve">Computed = debt × annuity factor.</t>
  </si>
  <si>
    <t xml:space="preserve">MSC wholesale tariff ($/m³)</t>
  </si>
  <si>
    <t xml:space="preserve">Same tariff every town pays (linked to Assumptions).</t>
  </si>
  <si>
    <t xml:space="preserve">NT share of Infrastructure Dev Fund ($/yr)</t>
  </si>
  <si>
    <t xml:space="preserve">~$3M at maturity (financing paper); $2M used, conservative.</t>
  </si>
  <si>
    <t xml:space="preserve">TODAY — GO IT ALONE (true all-in cost)</t>
  </si>
  <si>
    <t xml:space="preserve">Water at commodity rate</t>
  </si>
  <si>
    <t xml:space="preserve">Debt service on its own $75.6M</t>
  </si>
  <si>
    <t xml:space="preserve">NT total water cost, today</t>
  </si>
  <si>
    <t xml:space="preserve">   — per m³, all-in</t>
  </si>
  <si>
    <t xml:space="preserve">UNDER THE MSC</t>
  </si>
  <si>
    <t xml:space="preserve">Water at wholesale tariff</t>
  </si>
  <si>
    <t xml:space="preserve">Debt service (MSC pays it out)</t>
  </si>
  <si>
    <t xml:space="preserve">Less: Infrastructure Dev Fund received</t>
  </si>
  <si>
    <t xml:space="preserve">NT net water cost, under MSC</t>
  </si>
  <si>
    <t xml:space="preserve">   — per m³, net</t>
  </si>
  <si>
    <t xml:space="preserve">NET BENEFIT TO NEW TECUMSETH</t>
  </si>
  <si>
    <t xml:space="preserve">Annual saving vs going it alone</t>
  </si>
  <si>
    <t xml:space="preserve">   — per m³ saving</t>
  </si>
  <si>
    <t xml:space="preserve">Plus (not in the cash figures above): the $75.6M comes off New Tecumseth's balance sheet entirely, freeing its borrowing room for the roads, wastewater and growth the Province has mandated — and every future expansion becomes the utility's 40-year paper, not another NT debenture.</t>
  </si>
  <si>
    <t xml:space="preserve">Wastewater Costs — for the Wastewater Chapter (NOT in the water model)</t>
  </si>
  <si>
    <t xml:space="preserve">Placeholders for Chapter 3. Kept off the water utility P&amp;L. The sewage main shares the Highway 26 trench with the water main, so it pays only its own pipe — the corridor works are already covered by water.</t>
  </si>
  <si>
    <t xml:space="preserve">SEWAGE MAIN IN THE SHARED HIGHWAY 26 TRENCH</t>
  </si>
  <si>
    <t xml:space="preserve">Shared-trench length (km)</t>
  </si>
  <si>
    <t xml:space="preserve">Same corridor as the TBM water main.</t>
  </si>
  <si>
    <t xml:space="preserve">Sewage pipe — incremental cost in shared trench ($/m)</t>
  </si>
  <si>
    <t xml:space="preserve">Pipe + material + extra trench width; corridor/restoration already paid by the water main.</t>
  </si>
  <si>
    <t xml:space="preserve">Sewage pipe cost — shared segment ($)</t>
  </si>
  <si>
    <t xml:space="preserve">Computed.</t>
  </si>
  <si>
    <t xml:space="preserve">   (compare) standalone cost, own trench ($/m)</t>
  </si>
  <si>
    <t xml:space="preserve">If built separately.</t>
  </si>
  <si>
    <t xml:space="preserve">   Standalone sewage pipe cost ($)</t>
  </si>
  <si>
    <t xml:space="preserve">   Saving from sharing the trench ($)</t>
  </si>
  <si>
    <t xml:space="preserve">OTHER SEWAGE CONVEYANCE (placeholders)</t>
  </si>
  <si>
    <t xml:space="preserve">Sewage pumping / lift station(s) ($)</t>
  </si>
  <si>
    <t xml:space="preserve">Separate from water pumping. Placeholder — size in Ch.3.</t>
  </si>
  <si>
    <t xml:space="preserve">Engineering + contingency (%)</t>
  </si>
  <si>
    <t xml:space="preserve">Shared-segment sewage total ($)</t>
  </si>
  <si>
    <t xml:space="preserve">FULL WASTEWATER PICTURE (context for Ch.3)</t>
  </si>
  <si>
    <t xml:space="preserve">Regional forcemain network to Thornbury ($)</t>
  </si>
  <si>
    <t xml:space="preserve">"After the Rain" estimate — Collingwood + TBM flows west along Hwy 26. The shared segment above is PART of this.</t>
  </si>
  <si>
    <t xml:space="preserve">Regional wastewater plant at Thornbury ($)</t>
  </si>
  <si>
    <t xml:space="preserve">"After the Rain" range $200–300M. For Ch.3 sizing.</t>
  </si>
  <si>
    <t xml:space="preserve">Advanced treatment — zero-pollution-outflow upgrade ($)</t>
  </si>
  <si>
    <t xml:space="preserve">+$200M for tertiary / nutrient removal / near-zero discharge — the cleanest plant in Canada, built as a MODULAR process so capacity can be added in stages and the design replicated as a provincial template. The environmental answer to Collingwood dumping raw sewage into the bay.</t>
  </si>
  <si>
    <t xml:space="preserve">NOTE: none of these figures touch the water model. They live here for the wastewater chapter. The only place wastewater affects the water model is the shared trench — which is already reflected as the "twin" credit that halves the water main's corridor cost on the Assumptions tab.</t>
  </si>
  <si>
    <t xml:space="preserve">WASTEWATER OPERATING COSTS (annual) — in-house professional organization</t>
  </si>
  <si>
    <t xml:space="preserve">Annual O&amp;M to run the regional wastewater system (Thornbury plant + forcemain + lift stations), built up the same disciplined way as the water plant O&amp;M. Like the capital above, this is kept OFF the water utility P&amp;L — it sizes the wastewater chapter. Corporate management is the wastewater half of the same executive team the water model already splits 50/50.</t>
  </si>
  <si>
    <t xml:space="preserve">Regional wastewater flow, at build-out (m³/yr)</t>
  </si>
  <si>
    <t xml:space="preserve">ASSUMPTION — ≈15,000 m³/day (Collingwood + TBM + growth). Size in the wastewater chapter.</t>
  </si>
  <si>
    <t xml:space="preserve">Operators, lab, process control, supervision. Higher than water treatment — a continuous biological process.</t>
  </si>
  <si>
    <t xml:space="preserve">Parts, contracted services, aeration/membrane and equipment upkeep.</t>
  </si>
  <si>
    <t xml:space="preserve">SCADA/software, insurance, building, ECA/permit compliance.</t>
  </si>
  <si>
    <t xml:space="preserve">Chemicals &amp; power ($/m³)</t>
  </si>
  <si>
    <t xml:space="preserve">Variable. Aeration, pumping, disinfection, treatment chemicals — well above water treatment (~$0.055/m³).</t>
  </si>
  <si>
    <t xml:space="preserve">Biosolids handling &amp; disposal ($/m³)</t>
  </si>
  <si>
    <t xml:space="preserve">Variable. Dewatering, hauling, disposal — a wastewater cost with no water-side equivalent.</t>
  </si>
  <si>
    <t xml:space="preserve">Forcemain &amp; lift-station pumping energy ($)</t>
  </si>
  <si>
    <t xml:space="preserve">Energy to move regional flows west to Thornbury along the Hwy 26 forcemain.</t>
  </si>
  <si>
    <t xml:space="preserve">Variable O&amp;M (chemicals, power, biosolids)</t>
  </si>
  <si>
    <t xml:space="preserve">Variable O&amp;M = (chemicals &amp; power + biosolids) × flow.</t>
  </si>
  <si>
    <t xml:space="preserve">Corporate management &amp; overhead — wastewater share</t>
  </si>
  <si>
    <t xml:space="preserve">The wastewater half of the same board, executive team and overhead the water model allocates 50/50. Together the two sides carry the whole corporate cost once.</t>
  </si>
  <si>
    <t xml:space="preserve">In-house wastewater O&amp;M — total ($/yr)</t>
  </si>
  <si>
    <t xml:space="preserve">Plant fixed + variable + pumping + the wastewater share of corporate management.</t>
  </si>
  <si>
    <t xml:space="preserve">OPERATOR SCENARIO — everything at cost, one fixed service fee (e.g. EPCOR)</t>
  </si>
  <si>
    <t xml:space="preserve">MSC owns and finances; the operator runs it. ALL real costs — direct O&amp;M and the professional/shared-services layer — pass through AT COST (EPCOR's own filed methodology allocates shared services at cost, no margin). The operator's ONLY money is a single fixed service fee.</t>
  </si>
  <si>
    <t xml:space="preserve">Direct O&amp;M — at cost (pass-through)</t>
  </si>
  <si>
    <t xml:space="preserve">Labour, maintenance, other fixed, pumping, and variable — the same real costs as in-house.</t>
  </si>
  <si>
    <t xml:space="preserve">Professional &amp; shared services — at cost (pass-through)</t>
  </si>
  <si>
    <t xml:space="preserve">The professional/corporate layer, at cost — matching EPCOR's shared-services methodology (no margin).</t>
  </si>
  <si>
    <t xml:space="preserve">Fixed service fee — operator's SOLE margin ($/yr)</t>
  </si>
  <si>
    <t xml:space="preserve">The only money the operator makes. Set by RFP. Anchor: a fraction of the ~$15M/yr equity return EPCOR would earn if it OWNED the plant (see below) — appropriate for a no-ownership, low-capital operating contract.</t>
  </si>
  <si>
    <t xml:space="preserve">MSC lean owner's oversight ($/yr)</t>
  </si>
  <si>
    <t xml:space="preserve">Contract management, board, audit — retained in-house.</t>
  </si>
  <si>
    <t xml:space="preserve">Performance holdback — share of fee at risk (%)</t>
  </si>
  <si>
    <t xml:space="preserve">Memo — portion of the fee at risk against effluent compliance and uptime. The contractual answer to spills.</t>
  </si>
  <si>
    <t xml:space="preserve">Operator-model wastewater O&amp;M — total ($/yr)</t>
  </si>
  <si>
    <t xml:space="preserve">Real costs at cost + the fixed fee + owner oversight. The fee is the premium for expertise and risk transfer, without building the org.</t>
  </si>
  <si>
    <t xml:space="preserve">FOR CONTRAST — what EPCOR would earn as OWNER (the COLLUS outcome), not as operator:</t>
  </si>
  <si>
    <t xml:space="preserve">EPCOR allowed ROE — Edmonton water, 2025–27 (%)</t>
  </si>
  <si>
    <t xml:space="preserve">EPCOR's own filed fair-return recommendation (40% equity / 60% debt).</t>
  </si>
  <si>
    <t xml:space="preserve">Equity share of the plant + forcemain (40%)</t>
  </si>
  <si>
    <t xml:space="preserve">Equity portion of the capital, per EPCOR's filed structure.</t>
  </si>
  <si>
    <t xml:space="preserve">Annual equity return if EPCOR OWNED it ($/yr)</t>
  </si>
  <si>
    <t xml:space="preserve">The surplus that would leave the region every year under an ownership transfer. As operator, the MSC keeps this — the operator gets only the fee above.</t>
  </si>
  <si>
    <t xml:space="preserve">SELECTED OPERATING MODEL</t>
  </si>
  <si>
    <t xml:space="preserve">Operating model (1 = in-house · 2 = operator)</t>
  </si>
  <si>
    <t xml:space="preserve">Toggle. 1 = in-house build-up; 2 = contracted operator.</t>
  </si>
  <si>
    <t xml:space="preserve">Selected wastewater O&amp;M ($/yr)</t>
  </si>
  <si>
    <t xml:space="preserve">Feeds the all-in memo below.</t>
  </si>
  <si>
    <t xml:space="preserve">Operator vs in-house — annual difference ($/yr)</t>
  </si>
  <si>
    <t xml:space="preserve">The fee + oversight premium for hiring the operator instead of building the org. Both are a fraction of the ownership return above.</t>
  </si>
  <si>
    <t xml:space="preserve">MEMO — INDICATIVE ALL-IN ANNUAL COST (context for the wastewater chapter)</t>
  </si>
  <si>
    <t xml:space="preserve">Rough annual scale only. The wastewater revenue and tariff are developed in Part Two.</t>
  </si>
  <si>
    <t xml:space="preserve">Wastewater capital — plant + upgrade + forcemain ($)</t>
  </si>
  <si>
    <t xml:space="preserve">Thornbury plant + regional forcemain. The shared-trench segment above is PART of the forcemain.</t>
  </si>
  <si>
    <t xml:space="preserve">Wastewater debt service — 40-yr (memo, $/yr)</t>
  </si>
  <si>
    <t xml:space="preserve">Capital × the water model's 40-yr annuity factor.</t>
  </si>
  <si>
    <t xml:space="preserve">From the toggle above.</t>
  </si>
  <si>
    <t xml:space="preserve">Indicative all-in annual cost ($/yr)</t>
  </si>
  <si>
    <t xml:space="preserve">Debt service + O&amp;M.</t>
  </si>
  <si>
    <t xml:space="preserve">None of this touches the water utility P&amp;L. Under either operating model the MSC owns the assets, holds the balance sheet, and sets the rate — the fee keeps the operator an operator. That is the line between hiring the expertise (surplus stays here) and selling the asset (surplus leaves, as it did with COLLUS).</t>
  </si>
  <si>
    <t xml:space="preserve">Notes, Assumptions &amp; Recommended Additions</t>
  </si>
  <si>
    <t xml:space="preserve">How the model works</t>
  </si>
  <si>
    <t xml:space="preserve">Model runs 2027–2040 (2027 = utility takeover / first revenue). Revenue = volume × tariff × realization. Volume grows via organic growth, Nottawa (village 2028 + 500 homes 2032), and TBM integration (full 2030). Costs are mostly fixed, so unit cost of water falls as volume rises (row 36). Edit any blue cell on the Assumptions tab and the model recalculates. (Extended from 2036 to 2040 on the same escalation and growth assumptions.)</t>
  </si>
  <si>
    <t xml:space="preserve">Plant O&amp;M — now anchored to Collingwood actuals (validated)</t>
  </si>
  <si>
    <t xml:space="preserve">Collingwood's 2024 water rate study reports Water TREATMENT operating cost of ~$2.12M (2024), ~$1.59M (2025 projected), rising to ~$2.36M by 2034 — NOT the $3.5M first assumed. A new automated plant runs lean on labour, so the earlier figure was too high. The line is now built up: labour $1.0M + maintenance $0.45M + other fixed $0.25M + chemicals/power $0.055/m³ (variable) ≈ $2.1M, matching Collingwood, plus a $0.5M transmission line for the 57-km trunk and boosters the MSC operates. Every component is separately editable.</t>
  </si>
  <si>
    <t xml:space="preserve">Note the model excludes Collingwood's "Water Distribution" (~$2.3M) and "Water Administration" (~$3.1M) — those are LOCAL costs that stay with each town, funded by the retail margin. The MSC (wholesale) only carries treatment + transmission.</t>
  </si>
  <si>
    <t xml:space="preserve">Costs — yours vs. estimated</t>
  </si>
  <si>
    <t xml:space="preserve">FROM YOU: board 10×$150k; CEO $500k; CFO/CIO/COO 3×$400k; 10 sr engineers ×$300k (management /2 shared); external engineering $500k; overhead $1M /2; plant $125M; Nottawa pipe $10M; 500 Nottawa homes in 2032; model starts 2027.</t>
  </si>
  <si>
    <t xml:space="preserve">ESTIMATED / ANCHORED BY ME: plant O&amp;M components (anchored to Collingwood 2024 rate study); transmission $0.5M; debt 4.5%/40yr; escalation 2%/yr; board allocation 50%.</t>
  </si>
  <si>
    <t xml:space="preserve">Revenue — biggest refinement</t>
  </si>
  <si>
    <t xml:space="preserve">New Tecumseth — RESOLVED. Under the buy-out, the MSC pays out NT's $75.6M plant debt (already inside the $125M) and NT moves onto the standard $1.95 tariff like every other town. So Billing realization stays at 100% (justified, not optimistic). NT still comes out ahead — see the "New Tecumseth" tab. Stayner is not counted (built its own well).</t>
  </si>
  <si>
    <t xml:space="preserve">TBM connection (twin with wastewater)</t>
  </si>
  <si>
    <t xml:space="preserve">A dedicated ~11 km transmission main (Barker plant → Mountain Road boundary) + a transfer pumping station; TBM keeps its internal network. Because the regional wastewater plant is to be at Thornbury, a wastewater main shares the same Highway 26 trench — build once, carry both — so the water side pays only half the corridor. Now built up on the Assumptions tab (twin-with-wastewater ON, terminal storage IN): ~11 km main + transfer pumping + terminal storage + 25% contingency ≈ $50M, feeding rows 40–41. Storage is deliberate — it is the reliability buffer that answers the single-pipe objection that sank the Stayner connection.</t>
  </si>
  <si>
    <t xml:space="preserve">What else I would add</t>
  </si>
  <si>
    <t xml:space="preserve">Capital renewal reserve; non-revenue water (~10–15%); construction-interest phasing; the Infrastructure Development Fund flow of surplus to towns; a sensitivity block; PILOT / insurance / bad-debt lines.</t>
  </si>
  <si>
    <t xml:space="preserve">Bottom line</t>
  </si>
  <si>
    <t xml:space="preserve">With plant O&amp;M corrected to Collingwood's real ~$2.1M, the utility is roughly break-even to modestly positive from 2027 and builds to a healthy surplus through the early-to-mid 2030s as Nottawa and TBM connect onto mostly-fixed costs — unit cost of water falling the whole way, and positive even after the TBM capital and a renewal reserve.</t>
  </si>
  <si>
    <t xml:space="preserve">Source for plant O&amp;M: Town of Collingwood water rate study / 2024 water budget (Water Treatment line), and 2024 Annual Summary Report for volume.</t>
  </si>
  <si>
    <t xml:space="preserve">South Georgian Bay — Permanent Population Projections by Town, 2021–2040</t>
  </si>
  <si>
    <t xml:space="preserve">Constant-CAGR projection anchored to each town's official base-year count and forecast horizon (see source column). Basis = permanent residents; The Blue Mountains excludes its large seasonal population.</t>
  </si>
  <si>
    <t xml:space="preserve">Town</t>
  </si>
  <si>
    <t xml:space="preserve">CAGR %/yr</t>
  </si>
  <si>
    <t xml:space="preserve">Basis / Source</t>
  </si>
  <si>
    <t xml:space="preserve">New Tecumseth</t>
  </si>
  <si>
    <t xml:space="preserve">Simcoe County Land Needs Assessment (Hemson, 2022), Table 11 — 2021 &amp; 2051 forecast population.</t>
  </si>
  <si>
    <t xml:space="preserve">Collingwood</t>
  </si>
  <si>
    <t xml:space="preserve">Wasaga Beach</t>
  </si>
  <si>
    <t xml:space="preserve">Clearview</t>
  </si>
  <si>
    <t xml:space="preserve">The Blue Mountains</t>
  </si>
  <si>
    <t xml:space="preserve">2021 Census permanent population (9,390); 2046 permanent forecast ~16,000 (Grey County growth strategy, per TBM Council reporting). Excludes large seasonal population.</t>
  </si>
  <si>
    <t xml:space="preserve">TOTAL (4 MSC partners + NT)</t>
  </si>
  <si>
    <t xml:space="preserve">South Georgian Bay MSC — Water Utility: Key Charts</t>
  </si>
</sst>
</file>

<file path=xl/styles.xml><?xml version="1.0" encoding="utf-8"?>
<styleSheet xmlns="http://schemas.openxmlformats.org/spreadsheetml/2006/main">
  <numFmts count="13">
    <numFmt numFmtId="164" formatCode="General"/>
    <numFmt numFmtId="165" formatCode="#,##0"/>
    <numFmt numFmtId="166" formatCode="0.0%"/>
    <numFmt numFmtId="167" formatCode="0"/>
    <numFmt numFmtId="168" formatCode="\$#,##0.00"/>
    <numFmt numFmtId="169" formatCode="0%"/>
    <numFmt numFmtId="170" formatCode="\$#,##0;&quot;($&quot;#,##0\)"/>
    <numFmt numFmtId="171" formatCode="0.00000"/>
    <numFmt numFmtId="172" formatCode="0.0"/>
    <numFmt numFmtId="173" formatCode="\$#,##0"/>
    <numFmt numFmtId="174" formatCode="\$0.00"/>
    <numFmt numFmtId="175" formatCode="\$0.000"/>
    <numFmt numFmtId="176" formatCode="0.00"/>
  </numFmts>
  <fonts count="23">
    <font>
      <sz val="11"/>
      <color theme="1"/>
      <name val="Calibri"/>
      <family val="0"/>
      <charset val="1"/>
    </font>
    <font>
      <sz val="10"/>
      <name val="Arial"/>
      <family val="0"/>
    </font>
    <font>
      <sz val="10"/>
      <name val="Arial"/>
      <family val="0"/>
    </font>
    <font>
      <sz val="10"/>
      <name val="Arial"/>
      <family val="0"/>
    </font>
    <font>
      <b val="true"/>
      <sz val="14"/>
      <color theme="1"/>
      <name val="Arial"/>
      <family val="0"/>
      <charset val="1"/>
    </font>
    <font>
      <i val="true"/>
      <sz val="9"/>
      <color rgb="FF555555"/>
      <name val="Arial"/>
      <family val="0"/>
      <charset val="1"/>
    </font>
    <font>
      <b val="true"/>
      <sz val="11"/>
      <color rgb="FFFFFFFF"/>
      <name val="Arial"/>
      <family val="0"/>
      <charset val="1"/>
    </font>
    <font>
      <sz val="11"/>
      <color rgb="FF000000"/>
      <name val="Arial"/>
      <family val="0"/>
      <charset val="1"/>
    </font>
    <font>
      <sz val="11"/>
      <color rgb="FF0000FF"/>
      <name val="Arial"/>
      <family val="0"/>
      <charset val="1"/>
    </font>
    <font>
      <b val="true"/>
      <sz val="11"/>
      <color rgb="FF000000"/>
      <name val="Arial"/>
      <family val="0"/>
      <charset val="1"/>
    </font>
    <font>
      <b val="true"/>
      <sz val="11"/>
      <color rgb="FF0000FF"/>
      <name val="Arial"/>
      <family val="0"/>
      <charset val="1"/>
    </font>
    <font>
      <b val="true"/>
      <sz val="11"/>
      <color theme="1"/>
      <name val="Arial"/>
      <family val="0"/>
      <charset val="1"/>
    </font>
    <font>
      <b val="true"/>
      <sz val="11"/>
      <color theme="1"/>
      <name val="Cambria"/>
      <family val="0"/>
      <charset val="1"/>
    </font>
    <font>
      <sz val="11"/>
      <color rgb="FF008000"/>
      <name val="Arial"/>
      <family val="0"/>
      <charset val="1"/>
    </font>
    <font>
      <b val="true"/>
      <sz val="11"/>
      <color rgb="FF156082"/>
      <name val="Arial"/>
      <family val="0"/>
      <charset val="1"/>
    </font>
    <font>
      <sz val="11"/>
      <color theme="1"/>
      <name val="Arial"/>
      <family val="0"/>
      <charset val="1"/>
    </font>
    <font>
      <b val="true"/>
      <sz val="12"/>
      <color theme="1"/>
      <name val="Cambria"/>
      <family val="0"/>
      <charset val="1"/>
    </font>
    <font>
      <i val="true"/>
      <sz val="9"/>
      <color theme="1"/>
      <name val="Cambria"/>
      <family val="0"/>
      <charset val="1"/>
    </font>
    <font>
      <sz val="8"/>
      <color theme="1"/>
      <name val="Cambria"/>
      <family val="0"/>
      <charset val="1"/>
    </font>
    <font>
      <b val="true"/>
      <sz val="13"/>
      <color theme="1"/>
      <name val="Cambria"/>
      <family val="0"/>
      <charset val="1"/>
    </font>
    <font>
      <b val="true"/>
      <sz val="18"/>
      <color rgb="FF000000"/>
      <name val="Calibri"/>
      <family val="2"/>
    </font>
    <font>
      <sz val="10"/>
      <color rgb="FF000000"/>
      <name val="Calibri"/>
      <family val="2"/>
    </font>
    <font>
      <b val="true"/>
      <sz val="10"/>
      <color rgb="FF000000"/>
      <name val="Calibri"/>
      <family val="2"/>
    </font>
  </fonts>
  <fills count="8">
    <fill>
      <patternFill patternType="none"/>
    </fill>
    <fill>
      <patternFill patternType="gray125"/>
    </fill>
    <fill>
      <patternFill patternType="solid">
        <fgColor rgb="FF156082"/>
        <bgColor rgb="FF008080"/>
      </patternFill>
    </fill>
    <fill>
      <patternFill patternType="solid">
        <fgColor rgb="FFFFFF00"/>
        <bgColor rgb="FFFFFF00"/>
      </patternFill>
    </fill>
    <fill>
      <patternFill patternType="solid">
        <fgColor rgb="FFDDEBF7"/>
        <bgColor rgb="FFE2EFDA"/>
      </patternFill>
    </fill>
    <fill>
      <patternFill patternType="solid">
        <fgColor rgb="FFF2F2F2"/>
        <bgColor rgb="FFE2EFDA"/>
      </patternFill>
    </fill>
    <fill>
      <patternFill patternType="solid">
        <fgColor rgb="FFE2EFDA"/>
        <bgColor rgb="FFDDEBF7"/>
      </patternFill>
    </fill>
    <fill>
      <patternFill patternType="solid">
        <fgColor rgb="FF7F3F00"/>
        <bgColor rgb="FF99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6" fontId="8" fillId="3" borderId="0" xfId="0" applyFont="true" applyBorder="false" applyAlignment="true" applyProtection="false">
      <alignment horizontal="general" vertical="bottom" textRotation="0" wrapText="false" indent="0" shrinkToFit="false"/>
      <protection locked="true" hidden="false"/>
    </xf>
    <xf numFmtId="165" fontId="8" fillId="3"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7" fontId="8" fillId="3"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7" fontId="10" fillId="3" borderId="0" xfId="0" applyFont="true" applyBorder="false" applyAlignment="true" applyProtection="false">
      <alignment horizontal="general" vertical="bottom" textRotation="0" wrapText="false" indent="0" shrinkToFit="false"/>
      <protection locked="true" hidden="false"/>
    </xf>
    <xf numFmtId="168" fontId="8" fillId="3"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70" fontId="8" fillId="3"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70" fontId="7" fillId="0" borderId="0" xfId="0" applyFont="true" applyBorder="false" applyAlignment="true" applyProtection="false">
      <alignment horizontal="general" vertical="bottom" textRotation="0" wrapText="false" indent="0" shrinkToFit="false"/>
      <protection locked="true" hidden="false"/>
    </xf>
    <xf numFmtId="171" fontId="7" fillId="0" borderId="0" xfId="0" applyFont="true" applyBorder="false" applyAlignment="true" applyProtection="false">
      <alignment horizontal="general" vertical="bottom" textRotation="0" wrapText="false" indent="0" shrinkToFit="false"/>
      <protection locked="true" hidden="false"/>
    </xf>
    <xf numFmtId="172" fontId="8" fillId="0" borderId="0" xfId="0" applyFont="true" applyBorder="false" applyAlignment="true" applyProtection="false">
      <alignment horizontal="general" vertical="bottom" textRotation="0" wrapText="false" indent="0" shrinkToFit="false"/>
      <protection locked="true" hidden="false"/>
    </xf>
    <xf numFmtId="173" fontId="8" fillId="3"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7" fontId="6" fillId="2" borderId="0" xfId="0" applyFont="true" applyBorder="false" applyAlignment="true" applyProtection="false">
      <alignment horizontal="center"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74" fontId="13" fillId="0" borderId="0" xfId="0" applyFont="true" applyBorder="false" applyAlignment="true" applyProtection="false">
      <alignment horizontal="general" vertical="bottom" textRotation="0" wrapText="false" indent="0" shrinkToFit="false"/>
      <protection locked="true" hidden="false"/>
    </xf>
    <xf numFmtId="174" fontId="0" fillId="0" borderId="0" xfId="0" applyFont="false" applyBorder="false" applyAlignment="true" applyProtection="false">
      <alignment horizontal="general" vertical="bottom" textRotation="0" wrapText="false" indent="0" shrinkToFit="false"/>
      <protection locked="true" hidden="false"/>
    </xf>
    <xf numFmtId="166" fontId="13" fillId="0" borderId="0" xfId="0" applyFont="true" applyBorder="false" applyAlignment="tru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general" vertical="bottom" textRotation="0" wrapText="false" indent="0" shrinkToFit="false"/>
      <protection locked="true" hidden="false"/>
    </xf>
    <xf numFmtId="170" fontId="11" fillId="0" borderId="0" xfId="0" applyFont="true" applyBorder="false" applyAlignment="true" applyProtection="false">
      <alignment horizontal="general" vertical="bottom" textRotation="0" wrapText="false" indent="0" shrinkToFit="false"/>
      <protection locked="true" hidden="false"/>
    </xf>
    <xf numFmtId="170" fontId="0" fillId="0" borderId="0" xfId="0" applyFont="false" applyBorder="false" applyAlignment="true" applyProtection="false">
      <alignment horizontal="general" vertical="bottom" textRotation="0" wrapText="false" indent="0" shrinkToFit="false"/>
      <protection locked="true" hidden="false"/>
    </xf>
    <xf numFmtId="170" fontId="13" fillId="0" borderId="0" xfId="0" applyFont="true" applyBorder="false" applyAlignment="true" applyProtection="false">
      <alignment horizontal="general" vertical="bottom" textRotation="0" wrapText="false" indent="0" shrinkToFit="false"/>
      <protection locked="true" hidden="false"/>
    </xf>
    <xf numFmtId="164" fontId="11" fillId="4" borderId="0" xfId="0" applyFont="true" applyBorder="false" applyAlignment="true" applyProtection="false">
      <alignment horizontal="general" vertical="bottom" textRotation="0" wrapText="false" indent="0" shrinkToFit="false"/>
      <protection locked="true" hidden="false"/>
    </xf>
    <xf numFmtId="164" fontId="5" fillId="4" borderId="0" xfId="0" applyFont="true" applyBorder="false" applyAlignment="true" applyProtection="false">
      <alignment horizontal="general" vertical="bottom" textRotation="0" wrapText="false" indent="0" shrinkToFit="false"/>
      <protection locked="true" hidden="false"/>
    </xf>
    <xf numFmtId="170" fontId="11" fillId="4" borderId="0" xfId="0" applyFont="true" applyBorder="false" applyAlignment="true" applyProtection="false">
      <alignment horizontal="general" vertical="bottom" textRotation="0" wrapText="false" indent="0" shrinkToFit="false"/>
      <protection locked="true" hidden="false"/>
    </xf>
    <xf numFmtId="174" fontId="11" fillId="4" borderId="0" xfId="0" applyFont="true" applyBorder="false" applyAlignment="true" applyProtection="false">
      <alignment horizontal="general" vertical="bottom" textRotation="0" wrapText="false" indent="0" shrinkToFit="false"/>
      <protection locked="true" hidden="false"/>
    </xf>
    <xf numFmtId="164" fontId="11" fillId="5" borderId="0" xfId="0" applyFont="true" applyBorder="false" applyAlignment="true" applyProtection="false">
      <alignment horizontal="general" vertical="bottom" textRotation="0" wrapText="false" indent="0"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4" fontId="11" fillId="6" borderId="0" xfId="0" applyFont="true" applyBorder="false" applyAlignment="true" applyProtection="false">
      <alignment horizontal="general" vertical="bottom" textRotation="0" wrapText="false" indent="0" shrinkToFit="false"/>
      <protection locked="true" hidden="false"/>
    </xf>
    <xf numFmtId="164" fontId="5" fillId="6" borderId="0" xfId="0" applyFont="true" applyBorder="false" applyAlignment="true" applyProtection="false">
      <alignment horizontal="general" vertical="bottom" textRotation="0" wrapText="false" indent="0" shrinkToFit="false"/>
      <protection locked="true" hidden="false"/>
    </xf>
    <xf numFmtId="170" fontId="11" fillId="6"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8" fontId="13" fillId="0" borderId="0" xfId="0" applyFont="true" applyBorder="false" applyAlignment="true" applyProtection="false">
      <alignment horizontal="general" vertical="bottom" textRotation="0" wrapText="false" indent="0" shrinkToFit="false"/>
      <protection locked="true" hidden="false"/>
    </xf>
    <xf numFmtId="168" fontId="7" fillId="0" borderId="0" xfId="0" applyFont="true" applyBorder="false" applyAlignment="true" applyProtection="false">
      <alignment horizontal="general" vertical="bottom" textRotation="0" wrapText="false" indent="0" shrinkToFit="false"/>
      <protection locked="true" hidden="false"/>
    </xf>
    <xf numFmtId="170" fontId="7" fillId="4" borderId="0" xfId="0" applyFont="true" applyBorder="false" applyAlignment="true" applyProtection="false">
      <alignment horizontal="general" vertical="bottom" textRotation="0" wrapText="false" indent="0" shrinkToFit="false"/>
      <protection locked="true" hidden="false"/>
    </xf>
    <xf numFmtId="168" fontId="7" fillId="4"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7" borderId="0" xfId="0" applyFont="true" applyBorder="false" applyAlignment="true" applyProtection="false">
      <alignment horizontal="general" vertical="bottom" textRotation="0" wrapText="false" indent="0" shrinkToFit="false"/>
      <protection locked="true" hidden="false"/>
    </xf>
    <xf numFmtId="164" fontId="0" fillId="7" borderId="0" xfId="0" applyFont="fals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75" fontId="8" fillId="0" borderId="0" xfId="0" applyFont="true" applyBorder="false" applyAlignment="true" applyProtection="false">
      <alignment horizontal="general" vertical="bottom" textRotation="0" wrapText="false" indent="0" shrinkToFit="false"/>
      <protection locked="true" hidden="false"/>
    </xf>
    <xf numFmtId="170" fontId="9" fillId="0" borderId="0" xfId="0" applyFont="true" applyBorder="false" applyAlignment="true" applyProtection="false">
      <alignment horizontal="general" vertical="bottom" textRotation="0" wrapText="false" indent="0" shrinkToFit="false"/>
      <protection locked="true" hidden="false"/>
    </xf>
    <xf numFmtId="170" fontId="7" fillId="7" borderId="0" xfId="0" applyFont="true" applyBorder="false" applyAlignment="true" applyProtection="false">
      <alignment horizontal="general" vertical="bottom" textRotation="0" wrapText="false" indent="0" shrinkToFit="false"/>
      <protection locked="true" hidden="false"/>
    </xf>
    <xf numFmtId="164" fontId="5" fillId="7"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70" fontId="13" fillId="7"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76" fontId="0" fillId="0" borderId="0" xfId="0" applyFont="fals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6082"/>
      <rgbColor rgb="FFB7B7B7"/>
      <rgbColor rgb="FF4F81BD"/>
      <rgbColor rgb="FF9999FF"/>
      <rgbColor rgb="FFC0504D"/>
      <rgbColor rgb="FFF2F2F2"/>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4BACC6"/>
      <rgbColor rgb="FF9BBB59"/>
      <rgbColor rgb="FFFFCC00"/>
      <rgbColor rgb="FFFF9900"/>
      <rgbColor rgb="FFFF6600"/>
      <rgbColor rgb="FF8064A2"/>
      <rgbColor rgb="FF969696"/>
      <rgbColor rgb="FF003366"/>
      <rgbColor rgb="FF339966"/>
      <rgbColor rgb="FF003300"/>
      <rgbColor rgb="FF333300"/>
      <rgbColor rgb="FF7F3F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Permanent Population Projection by Town, 2021–2040</a:t>
            </a:r>
          </a:p>
        </c:rich>
      </c:tx>
      <c:overlay val="0"/>
      <c:spPr>
        <a:noFill/>
        <a:ln w="0">
          <a:noFill/>
        </a:ln>
      </c:spPr>
    </c:title>
    <c:autoTitleDeleted val="0"/>
    <c:plotArea>
      <c:lineChart>
        <c:grouping val="standard"/>
        <c:varyColors val="0"/>
        <c:ser>
          <c:idx val="0"/>
          <c:order val="0"/>
          <c:tx>
            <c:strRef>
              <c:f>"New Tecumseth"</c:f>
              <c:strCache>
                <c:ptCount val="1"/>
                <c:pt idx="0">
                  <c:v>New Tecumseth</c:v>
                </c:pt>
              </c:strCache>
            </c:strRef>
          </c:tx>
          <c:spPr>
            <a:solidFill>
              <a:srgbClr val="4f81bd"/>
            </a:solidFill>
            <a:ln w="19080">
              <a:solidFill>
                <a:srgbClr val="4f81b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Projections'!$B$5:$U$5</c:f>
              <c:numCache>
                <c:formatCode>#,##0</c:formatCode>
                <c:ptCount val="20"/>
                <c:pt idx="0">
                  <c:v>45480</c:v>
                </c:pt>
                <c:pt idx="1">
                  <c:v>46356</c:v>
                </c:pt>
                <c:pt idx="2">
                  <c:v>47248</c:v>
                </c:pt>
                <c:pt idx="3">
                  <c:v>48158</c:v>
                </c:pt>
                <c:pt idx="4">
                  <c:v>49085</c:v>
                </c:pt>
                <c:pt idx="5">
                  <c:v>50030</c:v>
                </c:pt>
                <c:pt idx="6">
                  <c:v>50993</c:v>
                </c:pt>
                <c:pt idx="7">
                  <c:v>51975</c:v>
                </c:pt>
                <c:pt idx="8">
                  <c:v>52976</c:v>
                </c:pt>
                <c:pt idx="9">
                  <c:v>53996</c:v>
                </c:pt>
                <c:pt idx="10">
                  <c:v>55035</c:v>
                </c:pt>
                <c:pt idx="11">
                  <c:v>56095</c:v>
                </c:pt>
                <c:pt idx="12">
                  <c:v>57175</c:v>
                </c:pt>
                <c:pt idx="13">
                  <c:v>58276</c:v>
                </c:pt>
                <c:pt idx="14">
                  <c:v>59398</c:v>
                </c:pt>
                <c:pt idx="15">
                  <c:v>60541</c:v>
                </c:pt>
                <c:pt idx="16">
                  <c:v>61707</c:v>
                </c:pt>
                <c:pt idx="17">
                  <c:v>62895</c:v>
                </c:pt>
                <c:pt idx="18">
                  <c:v>64106</c:v>
                </c:pt>
                <c:pt idx="19">
                  <c:v>65340</c:v>
                </c:pt>
              </c:numCache>
            </c:numRef>
          </c:val>
          <c:smooth val="0"/>
        </c:ser>
        <c:ser>
          <c:idx val="1"/>
          <c:order val="1"/>
          <c:tx>
            <c:strRef>
              <c:f>"Collingwood"</c:f>
              <c:strCache>
                <c:ptCount val="1"/>
                <c:pt idx="0">
                  <c:v>Collingwood</c:v>
                </c:pt>
              </c:strCache>
            </c:strRef>
          </c:tx>
          <c:spPr>
            <a:solidFill>
              <a:srgbClr val="c0504d"/>
            </a:solidFill>
            <a:ln w="19080">
              <a:solidFill>
                <a:srgbClr val="c0504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Projections'!$B$6:$U$6</c:f>
              <c:numCache>
                <c:formatCode>#,##0</c:formatCode>
                <c:ptCount val="20"/>
                <c:pt idx="0">
                  <c:v>25470</c:v>
                </c:pt>
                <c:pt idx="1">
                  <c:v>25912</c:v>
                </c:pt>
                <c:pt idx="2">
                  <c:v>26362</c:v>
                </c:pt>
                <c:pt idx="3">
                  <c:v>26820</c:v>
                </c:pt>
                <c:pt idx="4">
                  <c:v>27286</c:v>
                </c:pt>
                <c:pt idx="5">
                  <c:v>27760</c:v>
                </c:pt>
                <c:pt idx="6">
                  <c:v>28242</c:v>
                </c:pt>
                <c:pt idx="7">
                  <c:v>28732</c:v>
                </c:pt>
                <c:pt idx="8">
                  <c:v>29231</c:v>
                </c:pt>
                <c:pt idx="9">
                  <c:v>29738</c:v>
                </c:pt>
                <c:pt idx="10">
                  <c:v>30255</c:v>
                </c:pt>
                <c:pt idx="11">
                  <c:v>30780</c:v>
                </c:pt>
                <c:pt idx="12">
                  <c:v>31315</c:v>
                </c:pt>
                <c:pt idx="13">
                  <c:v>31858</c:v>
                </c:pt>
                <c:pt idx="14">
                  <c:v>32412</c:v>
                </c:pt>
                <c:pt idx="15">
                  <c:v>32974</c:v>
                </c:pt>
                <c:pt idx="16">
                  <c:v>33547</c:v>
                </c:pt>
                <c:pt idx="17">
                  <c:v>34130</c:v>
                </c:pt>
                <c:pt idx="18">
                  <c:v>34722</c:v>
                </c:pt>
                <c:pt idx="19">
                  <c:v>35325</c:v>
                </c:pt>
              </c:numCache>
            </c:numRef>
          </c:val>
          <c:smooth val="0"/>
        </c:ser>
        <c:ser>
          <c:idx val="2"/>
          <c:order val="2"/>
          <c:tx>
            <c:strRef>
              <c:f>"Wasaga Beach"</c:f>
              <c:strCache>
                <c:ptCount val="1"/>
                <c:pt idx="0">
                  <c:v>Wasaga Beach</c:v>
                </c:pt>
              </c:strCache>
            </c:strRef>
          </c:tx>
          <c:spPr>
            <a:solidFill>
              <a:srgbClr val="9bbb59"/>
            </a:solidFill>
            <a:ln w="19080">
              <a:solidFill>
                <a:srgbClr val="9bbb59"/>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Projections'!$B$7:$U$7</c:f>
              <c:numCache>
                <c:formatCode>#,##0</c:formatCode>
                <c:ptCount val="20"/>
                <c:pt idx="0">
                  <c:v>25480</c:v>
                </c:pt>
                <c:pt idx="1">
                  <c:v>25824</c:v>
                </c:pt>
                <c:pt idx="2">
                  <c:v>26172</c:v>
                </c:pt>
                <c:pt idx="3">
                  <c:v>26525</c:v>
                </c:pt>
                <c:pt idx="4">
                  <c:v>26883</c:v>
                </c:pt>
                <c:pt idx="5">
                  <c:v>27246</c:v>
                </c:pt>
                <c:pt idx="6">
                  <c:v>27614</c:v>
                </c:pt>
                <c:pt idx="7">
                  <c:v>27986</c:v>
                </c:pt>
                <c:pt idx="8">
                  <c:v>28364</c:v>
                </c:pt>
                <c:pt idx="9">
                  <c:v>28746</c:v>
                </c:pt>
                <c:pt idx="10">
                  <c:v>29134</c:v>
                </c:pt>
                <c:pt idx="11">
                  <c:v>29527</c:v>
                </c:pt>
                <c:pt idx="12">
                  <c:v>29926</c:v>
                </c:pt>
                <c:pt idx="13">
                  <c:v>30329</c:v>
                </c:pt>
                <c:pt idx="14">
                  <c:v>30739</c:v>
                </c:pt>
                <c:pt idx="15">
                  <c:v>31153</c:v>
                </c:pt>
                <c:pt idx="16">
                  <c:v>31574</c:v>
                </c:pt>
                <c:pt idx="17">
                  <c:v>32000</c:v>
                </c:pt>
                <c:pt idx="18">
                  <c:v>32431</c:v>
                </c:pt>
                <c:pt idx="19">
                  <c:v>32869</c:v>
                </c:pt>
              </c:numCache>
            </c:numRef>
          </c:val>
          <c:smooth val="0"/>
        </c:ser>
        <c:ser>
          <c:idx val="3"/>
          <c:order val="3"/>
          <c:tx>
            <c:strRef>
              <c:f>"Clearview"</c:f>
              <c:strCache>
                <c:ptCount val="1"/>
                <c:pt idx="0">
                  <c:v>Clearview</c:v>
                </c:pt>
              </c:strCache>
            </c:strRef>
          </c:tx>
          <c:spPr>
            <a:solidFill>
              <a:srgbClr val="8064a2"/>
            </a:solidFill>
            <a:ln w="19080">
              <a:solidFill>
                <a:srgbClr val="8064a2"/>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Projections'!$B$8:$U$8</c:f>
              <c:numCache>
                <c:formatCode>#,##0</c:formatCode>
                <c:ptCount val="20"/>
                <c:pt idx="0">
                  <c:v>15220</c:v>
                </c:pt>
                <c:pt idx="1">
                  <c:v>15404</c:v>
                </c:pt>
                <c:pt idx="2">
                  <c:v>15590</c:v>
                </c:pt>
                <c:pt idx="3">
                  <c:v>15778</c:v>
                </c:pt>
                <c:pt idx="4">
                  <c:v>15969</c:v>
                </c:pt>
                <c:pt idx="5">
                  <c:v>16162</c:v>
                </c:pt>
                <c:pt idx="6">
                  <c:v>16357</c:v>
                </c:pt>
                <c:pt idx="7">
                  <c:v>16555</c:v>
                </c:pt>
                <c:pt idx="8">
                  <c:v>16755</c:v>
                </c:pt>
                <c:pt idx="9">
                  <c:v>16957</c:v>
                </c:pt>
                <c:pt idx="10">
                  <c:v>17162</c:v>
                </c:pt>
                <c:pt idx="11">
                  <c:v>17369</c:v>
                </c:pt>
                <c:pt idx="12">
                  <c:v>17579</c:v>
                </c:pt>
                <c:pt idx="13">
                  <c:v>17791</c:v>
                </c:pt>
                <c:pt idx="14">
                  <c:v>18006</c:v>
                </c:pt>
                <c:pt idx="15">
                  <c:v>18224</c:v>
                </c:pt>
                <c:pt idx="16">
                  <c:v>18444</c:v>
                </c:pt>
                <c:pt idx="17">
                  <c:v>18667</c:v>
                </c:pt>
                <c:pt idx="18">
                  <c:v>18892</c:v>
                </c:pt>
                <c:pt idx="19">
                  <c:v>19120</c:v>
                </c:pt>
              </c:numCache>
            </c:numRef>
          </c:val>
          <c:smooth val="0"/>
        </c:ser>
        <c:ser>
          <c:idx val="4"/>
          <c:order val="4"/>
          <c:tx>
            <c:strRef>
              <c:f>"The Blue Mountains"</c:f>
              <c:strCache>
                <c:ptCount val="1"/>
                <c:pt idx="0">
                  <c:v>The Blue Mountains</c:v>
                </c:pt>
              </c:strCache>
            </c:strRef>
          </c:tx>
          <c:spPr>
            <a:solidFill>
              <a:srgbClr val="4bacc6"/>
            </a:solidFill>
            <a:ln w="19080">
              <a:solidFill>
                <a:srgbClr val="4bacc6"/>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'Population Projections'!$B$4:$U$4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lvl>
                  <c:pt idx="0">
                    <c:v>2026</c:v>
                  </c:pt>
                </c:lvl>
                <c:lvl>
                  <c:pt idx="0">
                    <c:v>2025</c:v>
                  </c:pt>
                </c:lvl>
                <c:lvl>
                  <c:pt idx="0">
                    <c:v>2024</c:v>
                  </c:pt>
                </c:lvl>
                <c:lvl>
                  <c:pt idx="0">
                    <c:v>2023</c:v>
                  </c:pt>
                </c:lvl>
                <c:lvl>
                  <c:pt idx="0">
                    <c:v>2022</c:v>
                  </c:pt>
                </c:lvl>
                <c:lvl>
                  <c:pt idx="0">
                    <c:v>2021</c:v>
                  </c:pt>
                </c:lvl>
              </c:multiLvlStrCache>
            </c:multiLvlStrRef>
          </c:cat>
          <c:val>
            <c:numRef>
              <c:f>'Population Projections'!$B$9:$U$9</c:f>
              <c:numCache>
                <c:formatCode>#,##0</c:formatCode>
                <c:ptCount val="20"/>
                <c:pt idx="0">
                  <c:v>9390</c:v>
                </c:pt>
                <c:pt idx="1">
                  <c:v>9592</c:v>
                </c:pt>
                <c:pt idx="2">
                  <c:v>9799</c:v>
                </c:pt>
                <c:pt idx="3">
                  <c:v>10010</c:v>
                </c:pt>
                <c:pt idx="4">
                  <c:v>10226</c:v>
                </c:pt>
                <c:pt idx="5">
                  <c:v>10446</c:v>
                </c:pt>
                <c:pt idx="6">
                  <c:v>10671</c:v>
                </c:pt>
                <c:pt idx="7">
                  <c:v>10901</c:v>
                </c:pt>
                <c:pt idx="8">
                  <c:v>11136</c:v>
                </c:pt>
                <c:pt idx="9">
                  <c:v>11376</c:v>
                </c:pt>
                <c:pt idx="10">
                  <c:v>11621</c:v>
                </c:pt>
                <c:pt idx="11">
                  <c:v>11871</c:v>
                </c:pt>
                <c:pt idx="12">
                  <c:v>12127</c:v>
                </c:pt>
                <c:pt idx="13">
                  <c:v>12389</c:v>
                </c:pt>
                <c:pt idx="14">
                  <c:v>12656</c:v>
                </c:pt>
                <c:pt idx="15">
                  <c:v>12928</c:v>
                </c:pt>
                <c:pt idx="16">
                  <c:v>13207</c:v>
                </c:pt>
                <c:pt idx="17">
                  <c:v>13491</c:v>
                </c:pt>
                <c:pt idx="18">
                  <c:v>13782</c:v>
                </c:pt>
                <c:pt idx="19">
                  <c:v>14079</c:v>
                </c:pt>
              </c:numCache>
            </c:numRef>
          </c:val>
          <c:smooth val="0"/>
        </c:ser>
        <c:hiLowLines>
          <c:spPr>
            <a:ln w="0">
              <a:noFill/>
            </a:ln>
          </c:spPr>
        </c:hiLowLines>
        <c:marker val="0"/>
        <c:axId val="81126965"/>
        <c:axId val="29805079"/>
      </c:lineChart>
      <c:catAx>
        <c:axId val="81126965"/>
        <c:scaling>
          <c:orientation val="minMax"/>
        </c:scaling>
        <c:delete val="0"/>
        <c:axPos val="b"/>
        <c:title>
          <c:tx>
            <c:rich>
              <a:bodyPr rot="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Year</a:t>
                </a:r>
              </a:p>
            </c:rich>
          </c:tx>
          <c:overlay val="0"/>
          <c:spPr>
            <a:noFill/>
            <a:ln w="0">
              <a:noFill/>
            </a:ln>
          </c:spPr>
        </c:title>
        <c:numFmt formatCode="General"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29805079"/>
        <c:crosses val="autoZero"/>
        <c:auto val="1"/>
        <c:lblAlgn val="ctr"/>
        <c:lblOffset val="100"/>
        <c:noMultiLvlLbl val="0"/>
      </c:catAx>
      <c:valAx>
        <c:axId val="29805079"/>
        <c:scaling>
          <c:orientation val="minMax"/>
        </c:scaling>
        <c:delete val="0"/>
        <c:axPos val="l"/>
        <c:majorGridlines>
          <c:spPr>
            <a:ln w="6480">
              <a:solidFill>
                <a:srgbClr val="b7b7b7"/>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Permanent residents</a:t>
                </a:r>
              </a:p>
            </c:rich>
          </c:tx>
          <c:overlay val="0"/>
          <c:spPr>
            <a:noFill/>
            <a:ln w="0">
              <a:noFill/>
            </a:ln>
          </c:spPr>
        </c:title>
        <c:numFmt formatCode="#,##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8112696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ea typeface="Calibri"/>
            </a:defRPr>
          </a:pPr>
        </a:p>
      </c:txPr>
    </c:legend>
    <c:plotVisOnly val="1"/>
    <c:dispBlanksAs val="zero"/>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Total Wholesale Water Revenue, 2027–2040</a:t>
            </a:r>
          </a:p>
        </c:rich>
      </c:tx>
      <c:overlay val="0"/>
      <c:spPr>
        <a:noFill/>
        <a:ln w="0">
          <a:noFill/>
        </a:ln>
      </c:spPr>
    </c:title>
    <c:autoTitleDeleted val="0"/>
    <c:plotArea>
      <c:barChart>
        <c:barDir val="col"/>
        <c:grouping val="clustered"/>
        <c:varyColors val="1"/>
        <c:ser>
          <c:idx val="0"/>
          <c:order val="0"/>
          <c:tx>
            <c:strRef>
              <c:f>"Total revenue"</c:f>
              <c:strCache>
                <c:ptCount val="1"/>
                <c:pt idx="0">
                  <c:v>Total revenue</c:v>
                </c:pt>
              </c:strCache>
            </c:strRef>
          </c:tx>
          <c:spPr>
            <a:solidFill>
              <a:srgbClr val="4f81bd"/>
            </a:solidFill>
            <a:ln w="0">
              <a:noFill/>
            </a:ln>
          </c:spPr>
          <c:invertIfNegative val="0"/>
          <c:dPt>
            <c:idx val="0"/>
            <c:spPr>
              <a:solidFill>
                <a:srgbClr val="000000"/>
              </a:solidFill>
              <a:ln w="0">
                <a:noFill/>
              </a:ln>
            </c:spPr>
          </c:dPt>
          <c:dPt>
            <c:idx val="1"/>
            <c:spPr>
              <a:solidFill>
                <a:srgbClr val="000000"/>
              </a:solidFill>
              <a:ln w="0">
                <a:noFill/>
              </a:ln>
            </c:spPr>
          </c:dPt>
          <c:dPt>
            <c:idx val="2"/>
            <c:spPr>
              <a:solidFill>
                <a:srgbClr val="000000"/>
              </a:solidFill>
              <a:ln w="0">
                <a:noFill/>
              </a:ln>
            </c:spPr>
          </c:dPt>
          <c:dPt>
            <c:idx val="3"/>
            <c:spPr>
              <a:solidFill>
                <a:srgbClr val="000000"/>
              </a:solidFill>
              <a:ln w="0">
                <a:noFill/>
              </a:ln>
            </c:spPr>
          </c:dPt>
          <c:dPt>
            <c:idx val="4"/>
            <c:spPr>
              <a:solidFill>
                <a:srgbClr val="000000"/>
              </a:solidFill>
              <a:ln w="0">
                <a:noFill/>
              </a:ln>
            </c:spPr>
          </c:dPt>
          <c:dPt>
            <c:idx val="5"/>
            <c:spPr>
              <a:solidFill>
                <a:srgbClr val="000000"/>
              </a:solidFill>
              <a:ln w="0">
                <a:noFill/>
              </a:ln>
            </c:spPr>
          </c:dPt>
          <c:dPt>
            <c:idx val="6"/>
            <c:spPr>
              <a:solidFill>
                <a:srgbClr val="000000"/>
              </a:solidFill>
              <a:ln w="0">
                <a:noFill/>
              </a:ln>
            </c:spPr>
          </c:dPt>
          <c:dPt>
            <c:idx val="7"/>
            <c:spPr>
              <a:solidFill>
                <a:srgbClr val="000000"/>
              </a:solidFill>
              <a:ln w="0">
                <a:noFill/>
              </a:ln>
            </c:spPr>
          </c:dPt>
          <c:dPt>
            <c:idx val="8"/>
            <c:spPr>
              <a:solidFill>
                <a:srgbClr val="000000"/>
              </a:solidFill>
              <a:ln w="0">
                <a:noFill/>
              </a:ln>
            </c:spPr>
          </c:dPt>
          <c:dPt>
            <c:idx val="9"/>
            <c:spPr>
              <a:solidFill>
                <a:srgbClr val="000000"/>
              </a:solidFill>
              <a:ln w="0">
                <a:noFill/>
              </a:ln>
            </c:spPr>
          </c:dPt>
          <c:dPt>
            <c:idx val="10"/>
            <c:spPr>
              <a:solidFill>
                <a:srgbClr val="000000"/>
              </a:solidFill>
              <a:ln w="0">
                <a:noFill/>
              </a:ln>
            </c:spPr>
          </c:dPt>
          <c:dPt>
            <c:idx val="11"/>
            <c:spPr>
              <a:solidFill>
                <a:srgbClr val="000000"/>
              </a:solidFill>
              <a:ln w="0">
                <a:noFill/>
              </a:ln>
            </c:spPr>
          </c:dPt>
          <c:dPt>
            <c:idx val="12"/>
            <c:spPr>
              <a:solidFill>
                <a:srgbClr val="000000"/>
              </a:solidFill>
              <a:ln w="0">
                <a:noFill/>
              </a:ln>
            </c:spPr>
          </c:dPt>
          <c:dPt>
            <c:idx val="13"/>
            <c:spPr>
              <a:solidFill>
                <a:srgbClr val="000000"/>
              </a:solidFill>
              <a:ln w="0">
                <a:noFill/>
              </a:ln>
            </c:spPr>
          </c:dPt>
          <c:dLbls>
            <c:dLbl>
              <c:idx val="0"/>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2"/>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3"/>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4"/>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5"/>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6"/>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7"/>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8"/>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9"/>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0"/>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1"/>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2"/>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dLbl>
              <c:idx val="13"/>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dLbl>
            <c:txPr>
              <a:bodyPr wrap="square"/>
              <a:lstStyle/>
              <a:p>
                <a:pPr>
                  <a:defRPr b="0" sz="1000" spc="-1" strike="noStrike">
                    <a:solidFill>
                      <a:srgbClr val="000000"/>
                    </a:solidFill>
                    <a:latin typeface="Calibri"/>
                    <a:ea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Model'!$C$13:$P$13</c:f>
              <c:numCache>
                <c:formatCode>\$#,##0;"($"#,##0\)</c:formatCode>
                <c:ptCount val="14"/>
                <c:pt idx="0">
                  <c:v>14040000</c:v>
                </c:pt>
                <c:pt idx="1">
                  <c:v>15167880</c:v>
                </c:pt>
                <c:pt idx="2">
                  <c:v>21536630.7975</c:v>
                </c:pt>
                <c:pt idx="3">
                  <c:v>22864626.8911856</c:v>
                </c:pt>
                <c:pt idx="4">
                  <c:v>23581950.0915695</c:v>
                </c:pt>
                <c:pt idx="5">
                  <c:v>24792512.1278494</c:v>
                </c:pt>
                <c:pt idx="6">
                  <c:v>25567075.2193516</c:v>
                </c:pt>
                <c:pt idx="7">
                  <c:v>26366968.1362515</c:v>
                </c:pt>
                <c:pt idx="8">
                  <c:v>27193044.7763512</c:v>
                </c:pt>
                <c:pt idx="9">
                  <c:v>28046188.3751443</c:v>
                </c:pt>
                <c:pt idx="10">
                  <c:v>28927312.5253384</c:v>
                </c:pt>
                <c:pt idx="11">
                  <c:v>29837362.2320455</c:v>
                </c:pt>
                <c:pt idx="12">
                  <c:v>30777315.0048906</c:v>
                </c:pt>
                <c:pt idx="13">
                  <c:v>31748181.9883381</c:v>
                </c:pt>
              </c:numCache>
            </c:numRef>
          </c:val>
        </c:ser>
        <c:gapWidth val="150"/>
        <c:overlap val="0"/>
        <c:axId val="91405104"/>
        <c:axId val="78702688"/>
      </c:barChart>
      <c:catAx>
        <c:axId val="91405104"/>
        <c:scaling>
          <c:orientation val="minMax"/>
        </c:scaling>
        <c:delete val="0"/>
        <c:axPos val="b"/>
        <c:title>
          <c:tx>
            <c:rich>
              <a:bodyPr rot="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Fiscal year</a:t>
                </a:r>
              </a:p>
            </c:rich>
          </c:tx>
          <c:overlay val="0"/>
          <c:spPr>
            <a:noFill/>
            <a:ln w="0">
              <a:noFill/>
            </a:ln>
          </c:spPr>
        </c:title>
        <c:numFmt formatCode="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78702688"/>
        <c:crosses val="autoZero"/>
        <c:auto val="1"/>
        <c:lblAlgn val="ctr"/>
        <c:lblOffset val="100"/>
        <c:noMultiLvlLbl val="0"/>
      </c:catAx>
      <c:valAx>
        <c:axId val="78702688"/>
        <c:scaling>
          <c:orientation val="minMax"/>
        </c:scaling>
        <c:delete val="0"/>
        <c:axPos val="l"/>
        <c:majorGridlines>
          <c:spPr>
            <a:ln w="6480">
              <a:solidFill>
                <a:srgbClr val="b7b7b7"/>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 (nominal)</a:t>
                </a:r>
              </a:p>
            </c:rich>
          </c:tx>
          <c:overlay val="0"/>
          <c:spPr>
            <a:noFill/>
            <a:ln w="0">
              <a:noFill/>
            </a:ln>
          </c:spPr>
        </c:title>
        <c:numFmt formatCode="\$#,##0;&quot;($&quot;#,##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91405104"/>
        <c:crosses val="autoZero"/>
        <c:crossBetween val="between"/>
      </c:valAx>
      <c:spPr>
        <a:noFill/>
        <a:ln w="0">
          <a:noFill/>
        </a:ln>
      </c:spPr>
    </c:plotArea>
    <c:plotVisOnly val="1"/>
    <c:dispBlanksAs val="zero"/>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ea typeface="Calibri"/>
              </a:defRPr>
            </a:pPr>
            <a:r>
              <a:rPr b="1" sz="1800" spc="-1" strike="noStrike">
                <a:solidFill>
                  <a:srgbClr val="000000"/>
                </a:solidFill>
                <a:latin typeface="Calibri"/>
                <a:ea typeface="Calibri"/>
              </a:rPr>
              <a:t>Surplus Projections, 2027–2040</a:t>
            </a:r>
          </a:p>
        </c:rich>
      </c:tx>
      <c:overlay val="0"/>
      <c:spPr>
        <a:noFill/>
        <a:ln w="0">
          <a:noFill/>
        </a:ln>
      </c:spPr>
    </c:title>
    <c:autoTitleDeleted val="0"/>
    <c:plotArea>
      <c:lineChart>
        <c:grouping val="standard"/>
        <c:varyColors val="0"/>
        <c:ser>
          <c:idx val="0"/>
          <c:order val="0"/>
          <c:tx>
            <c:strRef>
              <c:f>"Operating surplus (Rev − Opex)"</c:f>
              <c:strCache>
                <c:ptCount val="1"/>
                <c:pt idx="0">
                  <c:v>Operating surplus (Rev − Opex)</c:v>
                </c:pt>
              </c:strCache>
            </c:strRef>
          </c:tx>
          <c:spPr>
            <a:solidFill>
              <a:srgbClr val="4f81bd"/>
            </a:solidFill>
            <a:ln w="19080">
              <a:solidFill>
                <a:srgbClr val="4f81b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Model'!$C$33:$P$33</c:f>
              <c:numCache>
                <c:formatCode>\$#,##0;"($"#,##0\)</c:formatCode>
                <c:ptCount val="14"/>
                <c:pt idx="0">
                  <c:v>7244000</c:v>
                </c:pt>
                <c:pt idx="1">
                  <c:v>8224291.2</c:v>
                </c:pt>
                <c:pt idx="2">
                  <c:v>14304842.54586</c:v>
                </c:pt>
                <c:pt idx="3">
                  <c:v>15481708.7734227</c:v>
                </c:pt>
                <c:pt idx="4">
                  <c:v>16044650.2685928</c:v>
                </c:pt>
                <c:pt idx="5">
                  <c:v>17085360.7427164</c:v>
                </c:pt>
                <c:pt idx="6">
                  <c:v>17698574.4177613</c:v>
                </c:pt>
                <c:pt idx="7">
                  <c:v>18333636.5443517</c:v>
                </c:pt>
                <c:pt idx="8">
                  <c:v>18991322.4130037</c:v>
                </c:pt>
                <c:pt idx="9">
                  <c:v>19672434.7627918</c:v>
                </c:pt>
                <c:pt idx="10">
                  <c:v>20377804.7518996</c:v>
                </c:pt>
                <c:pt idx="11">
                  <c:v>21108292.9624626</c:v>
                </c:pt>
                <c:pt idx="12">
                  <c:v>21864790.4409148</c:v>
                </c:pt>
                <c:pt idx="13">
                  <c:v>22648219.7750939</c:v>
                </c:pt>
              </c:numCache>
            </c:numRef>
          </c:val>
          <c:smooth val="1"/>
        </c:ser>
        <c:ser>
          <c:idx val="1"/>
          <c:order val="1"/>
          <c:tx>
            <c:strRef>
              <c:f>"Net surplus after debt"</c:f>
              <c:strCache>
                <c:ptCount val="1"/>
                <c:pt idx="0">
                  <c:v>Net surplus after debt</c:v>
                </c:pt>
              </c:strCache>
            </c:strRef>
          </c:tx>
          <c:spPr>
            <a:solidFill>
              <a:srgbClr val="c0504d"/>
            </a:solidFill>
            <a:ln w="19080">
              <a:solidFill>
                <a:srgbClr val="c0504d"/>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Model'!$C$34:$P$34</c:f>
              <c:numCache>
                <c:formatCode>\$#,##0;"($"#,##0\)</c:formatCode>
                <c:ptCount val="14"/>
                <c:pt idx="0">
                  <c:v>7244000</c:v>
                </c:pt>
                <c:pt idx="1">
                  <c:v>7680859.7339041</c:v>
                </c:pt>
                <c:pt idx="2">
                  <c:v>7240233.48661338</c:v>
                </c:pt>
                <c:pt idx="3">
                  <c:v>8417099.71417611</c:v>
                </c:pt>
                <c:pt idx="4">
                  <c:v>8980041.20934613</c:v>
                </c:pt>
                <c:pt idx="5">
                  <c:v>10020751.6834698</c:v>
                </c:pt>
                <c:pt idx="6">
                  <c:v>10633965.3585147</c:v>
                </c:pt>
                <c:pt idx="7">
                  <c:v>11269027.4851051</c:v>
                </c:pt>
                <c:pt idx="8">
                  <c:v>11926713.3537571</c:v>
                </c:pt>
                <c:pt idx="9">
                  <c:v>12607825.7035452</c:v>
                </c:pt>
                <c:pt idx="10">
                  <c:v>13313195.692653</c:v>
                </c:pt>
                <c:pt idx="11">
                  <c:v>14043683.9032159</c:v>
                </c:pt>
                <c:pt idx="12">
                  <c:v>14800181.3816682</c:v>
                </c:pt>
                <c:pt idx="13">
                  <c:v>15583610.7158473</c:v>
                </c:pt>
              </c:numCache>
            </c:numRef>
          </c:val>
          <c:smooth val="1"/>
        </c:ser>
        <c:ser>
          <c:idx val="2"/>
          <c:order val="2"/>
          <c:tx>
            <c:strRef>
              <c:f>"Fully-loaded surplus (after reserve + TBM)"</c:f>
              <c:strCache>
                <c:ptCount val="1"/>
                <c:pt idx="0">
                  <c:v>Fully-loaded surplus (after reserve + TBM)</c:v>
                </c:pt>
              </c:strCache>
            </c:strRef>
          </c:tx>
          <c:spPr>
            <a:solidFill>
              <a:srgbClr val="9bbb59"/>
            </a:solidFill>
            <a:ln w="19080">
              <a:solidFill>
                <a:srgbClr val="9bbb59"/>
              </a:solidFill>
              <a:round/>
            </a:ln>
          </c:spPr>
          <c:marker>
            <c:symbol val="none"/>
          </c:marker>
          <c:dLbls>
            <c:txPr>
              <a:bodyPr wrap="square"/>
              <a:lstStyle/>
              <a:p>
                <a:pPr>
                  <a:defRPr b="0" sz="1000" spc="-1" strike="noStrike">
                    <a:solidFill>
                      <a:srgbClr val="000000"/>
                    </a:solidFill>
                    <a:latin typeface="Calibri"/>
                    <a:ea typeface="Calibri"/>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'10-Year Model'!$C$4:$P$4</c:f>
              <c:multiLvlStrCache>
                <c:ptCount val="1"/>
                <c:lvl>
                  <c:pt idx="0">
                    <c:v>2040</c:v>
                  </c:pt>
                </c:lvl>
                <c:lvl>
                  <c:pt idx="0">
                    <c:v>2039</c:v>
                  </c:pt>
                </c:lvl>
                <c:lvl>
                  <c:pt idx="0">
                    <c:v>2038</c:v>
                  </c:pt>
                </c:lvl>
                <c:lvl>
                  <c:pt idx="0">
                    <c:v>2037</c:v>
                  </c:pt>
                </c:lvl>
                <c:lvl>
                  <c:pt idx="0">
                    <c:v>2036</c:v>
                  </c:pt>
                </c:lvl>
                <c:lvl>
                  <c:pt idx="0">
                    <c:v>2035</c:v>
                  </c:pt>
                </c:lvl>
                <c:lvl>
                  <c:pt idx="0">
                    <c:v>2034</c:v>
                  </c:pt>
                </c:lvl>
                <c:lvl>
                  <c:pt idx="0">
                    <c:v>2033</c:v>
                  </c:pt>
                </c:lvl>
                <c:lvl>
                  <c:pt idx="0">
                    <c:v>2032</c:v>
                  </c:pt>
                </c:lvl>
                <c:lvl>
                  <c:pt idx="0">
                    <c:v>2031</c:v>
                  </c:pt>
                </c:lvl>
                <c:lvl>
                  <c:pt idx="0">
                    <c:v>2030</c:v>
                  </c:pt>
                </c:lvl>
                <c:lvl>
                  <c:pt idx="0">
                    <c:v>2029</c:v>
                  </c:pt>
                </c:lvl>
                <c:lvl>
                  <c:pt idx="0">
                    <c:v>2028</c:v>
                  </c:pt>
                </c:lvl>
                <c:lvl>
                  <c:pt idx="0">
                    <c:v>2027</c:v>
                  </c:pt>
                </c:lvl>
              </c:multiLvlStrCache>
            </c:multiLvlStrRef>
          </c:cat>
          <c:val>
            <c:numRef>
              <c:f>'10-Year Model'!$C$41:$P$41</c:f>
              <c:numCache>
                <c:formatCode>\$#,##0;"($"#,##0\)</c:formatCode>
                <c:ptCount val="14"/>
                <c:pt idx="0">
                  <c:v>6244000</c:v>
                </c:pt>
                <c:pt idx="1">
                  <c:v>6660859.7339041</c:v>
                </c:pt>
                <c:pt idx="2">
                  <c:v>3461448.36448954</c:v>
                </c:pt>
                <c:pt idx="3">
                  <c:v>4617506.59205227</c:v>
                </c:pt>
                <c:pt idx="4">
                  <c:v>5159223.92722229</c:v>
                </c:pt>
                <c:pt idx="5">
                  <c:v>6178285.75814598</c:v>
                </c:pt>
                <c:pt idx="6">
                  <c:v>6769417.81712682</c:v>
                </c:pt>
                <c:pt idx="7">
                  <c:v>7381956.69533199</c:v>
                </c:pt>
                <c:pt idx="8">
                  <c:v>8016668.85063097</c:v>
                </c:pt>
                <c:pt idx="9">
                  <c:v>8674348.01279903</c:v>
                </c:pt>
                <c:pt idx="10">
                  <c:v>9355816.15053439</c:v>
                </c:pt>
                <c:pt idx="11">
                  <c:v>10061924.4726974</c:v>
                </c:pt>
                <c:pt idx="12">
                  <c:v>10793554.4649818</c:v>
                </c:pt>
                <c:pt idx="13">
                  <c:v>11551618.9632697</c:v>
                </c:pt>
              </c:numCache>
            </c:numRef>
          </c:val>
          <c:smooth val="1"/>
        </c:ser>
        <c:hiLowLines>
          <c:spPr>
            <a:ln w="0">
              <a:noFill/>
            </a:ln>
          </c:spPr>
        </c:hiLowLines>
        <c:marker val="0"/>
        <c:axId val="78427150"/>
        <c:axId val="67087383"/>
      </c:lineChart>
      <c:catAx>
        <c:axId val="78427150"/>
        <c:scaling>
          <c:orientation val="minMax"/>
        </c:scaling>
        <c:delete val="0"/>
        <c:axPos val="b"/>
        <c:title>
          <c:tx>
            <c:rich>
              <a:bodyPr rot="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Fiscal year</a:t>
                </a:r>
              </a:p>
            </c:rich>
          </c:tx>
          <c:overlay val="0"/>
          <c:spPr>
            <a:noFill/>
            <a:ln w="0">
              <a:noFill/>
            </a:ln>
          </c:spPr>
        </c:title>
        <c:numFmt formatCode="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67087383"/>
        <c:crosses val="autoZero"/>
        <c:auto val="1"/>
        <c:lblAlgn val="ctr"/>
        <c:lblOffset val="100"/>
        <c:noMultiLvlLbl val="0"/>
      </c:catAx>
      <c:valAx>
        <c:axId val="67087383"/>
        <c:scaling>
          <c:orientation val="minMax"/>
        </c:scaling>
        <c:delete val="0"/>
        <c:axPos val="l"/>
        <c:majorGridlines>
          <c:spPr>
            <a:ln w="6480">
              <a:solidFill>
                <a:srgbClr val="b7b7b7"/>
              </a:solidFill>
              <a:round/>
            </a:ln>
          </c:spPr>
        </c:majorGridlines>
        <c:title>
          <c:tx>
            <c:rich>
              <a:bodyPr rot="-5400000"/>
              <a:lstStyle/>
              <a:p>
                <a:pPr>
                  <a:defRPr b="1" sz="1000" spc="-1" strike="noStrike">
                    <a:solidFill>
                      <a:srgbClr val="000000"/>
                    </a:solidFill>
                    <a:latin typeface="Calibri"/>
                    <a:ea typeface="Calibri"/>
                  </a:defRPr>
                </a:pPr>
                <a:r>
                  <a:rPr b="1" sz="1000" spc="-1" strike="noStrike">
                    <a:solidFill>
                      <a:srgbClr val="000000"/>
                    </a:solidFill>
                    <a:latin typeface="Calibri"/>
                    <a:ea typeface="Calibri"/>
                  </a:rPr>
                  <a:t>$ (nominal)</a:t>
                </a:r>
              </a:p>
            </c:rich>
          </c:tx>
          <c:overlay val="0"/>
          <c:spPr>
            <a:noFill/>
            <a:ln w="0">
              <a:noFill/>
            </a:ln>
          </c:spPr>
        </c:title>
        <c:numFmt formatCode="\$#,##0;&quot;($&quot;#,##0\)" sourceLinked="0"/>
        <c:majorTickMark val="none"/>
        <c:minorTickMark val="none"/>
        <c:tickLblPos val="nextTo"/>
        <c:spPr>
          <a:ln w="6480">
            <a:noFill/>
          </a:ln>
        </c:spPr>
        <c:txPr>
          <a:bodyPr/>
          <a:lstStyle/>
          <a:p>
            <a:pPr>
              <a:defRPr b="0" sz="1000" spc="-1" strike="noStrike">
                <a:solidFill>
                  <a:srgbClr val="000000"/>
                </a:solidFill>
                <a:latin typeface="Calibri"/>
                <a:ea typeface="Calibri"/>
              </a:defRPr>
            </a:pPr>
          </a:p>
        </c:txPr>
        <c:crossAx val="78427150"/>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ea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171360</xdr:rowOff>
    </xdr:from>
    <xdr:to>
      <xdr:col>12</xdr:col>
      <xdr:colOff>180000</xdr:colOff>
      <xdr:row>21</xdr:row>
      <xdr:rowOff>128520</xdr:rowOff>
    </xdr:to>
    <xdr:graphicFrame>
      <xdr:nvGraphicFramePr>
        <xdr:cNvPr id="0" name="Chart 1"/>
        <xdr:cNvGraphicFramePr/>
      </xdr:nvGraphicFramePr>
      <xdr:xfrm>
        <a:off x="0" y="380880"/>
        <a:ext cx="7548480" cy="37767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22</xdr:row>
      <xdr:rowOff>171360</xdr:rowOff>
    </xdr:from>
    <xdr:to>
      <xdr:col>12</xdr:col>
      <xdr:colOff>180000</xdr:colOff>
      <xdr:row>41</xdr:row>
      <xdr:rowOff>147960</xdr:rowOff>
    </xdr:to>
    <xdr:graphicFrame>
      <xdr:nvGraphicFramePr>
        <xdr:cNvPr id="1" name="Chart 2"/>
        <xdr:cNvGraphicFramePr/>
      </xdr:nvGraphicFramePr>
      <xdr:xfrm>
        <a:off x="0" y="4400640"/>
        <a:ext cx="7548480" cy="37767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43</xdr:row>
      <xdr:rowOff>171360</xdr:rowOff>
    </xdr:from>
    <xdr:to>
      <xdr:col>12</xdr:col>
      <xdr:colOff>180000</xdr:colOff>
      <xdr:row>62</xdr:row>
      <xdr:rowOff>147600</xdr:rowOff>
    </xdr:to>
    <xdr:graphicFrame>
      <xdr:nvGraphicFramePr>
        <xdr:cNvPr id="2" name="Chart 3"/>
        <xdr:cNvGraphicFramePr/>
      </xdr:nvGraphicFramePr>
      <xdr:xfrm>
        <a:off x="0" y="8601120"/>
        <a:ext cx="7548480" cy="377676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42"/>
    <col collapsed="false" customWidth="true" hidden="false" outlineLevel="0" max="2" min="2" style="1" width="16"/>
    <col collapsed="false" customWidth="true" hidden="false" outlineLevel="0" max="3" min="3" style="1" width="6"/>
    <col collapsed="false" customWidth="true" hidden="false" outlineLevel="0" max="4" min="4" style="1" width="64"/>
    <col collapsed="false" customWidth="true" hidden="false" outlineLevel="0" max="6" min="5" style="1" width="8.71"/>
  </cols>
  <sheetData>
    <row r="1" customFormat="false" ht="17.25" hidden="false" customHeight="true" outlineLevel="0" collapsed="false">
      <c r="A1" s="2" t="s">
        <v>0</v>
      </c>
    </row>
    <row r="2" customFormat="false" ht="15" hidden="false" customHeight="true" outlineLevel="0" collapsed="false"/>
    <row r="3" customFormat="false" ht="15" hidden="false" customHeight="true" outlineLevel="0" collapsed="false">
      <c r="A3" s="3" t="s">
        <v>1</v>
      </c>
    </row>
    <row r="4" customFormat="false" ht="15" hidden="false" customHeight="true" outlineLevel="0" collapsed="false"/>
    <row r="5" customFormat="false" ht="15" hidden="false" customHeight="true" outlineLevel="0" collapsed="false">
      <c r="A5" s="4" t="s">
        <v>2</v>
      </c>
      <c r="B5" s="5"/>
      <c r="C5" s="5"/>
      <c r="D5" s="5"/>
    </row>
    <row r="6" customFormat="false" ht="15" hidden="false" customHeight="true" outlineLevel="0" collapsed="false">
      <c r="A6" s="6" t="s">
        <v>3</v>
      </c>
      <c r="B6" s="7" t="n">
        <v>7200000</v>
      </c>
      <c r="D6" s="3" t="s">
        <v>4</v>
      </c>
    </row>
    <row r="7" customFormat="false" ht="15" hidden="false" customHeight="true" outlineLevel="0" collapsed="false">
      <c r="A7" s="6" t="s">
        <v>5</v>
      </c>
      <c r="B7" s="8" t="n">
        <v>0.015</v>
      </c>
      <c r="D7" s="3" t="s">
        <v>6</v>
      </c>
    </row>
    <row r="8" customFormat="false" ht="15" hidden="false" customHeight="true" outlineLevel="0" collapsed="false">
      <c r="A8" s="6" t="s">
        <v>7</v>
      </c>
      <c r="B8" s="9" t="n">
        <v>100000</v>
      </c>
      <c r="D8" s="3" t="s">
        <v>8</v>
      </c>
    </row>
    <row r="9" customFormat="false" ht="15" hidden="false" customHeight="true" outlineLevel="0" collapsed="false">
      <c r="A9" s="6" t="s">
        <v>9</v>
      </c>
      <c r="B9" s="10" t="n">
        <v>2028</v>
      </c>
      <c r="D9" s="3" t="s">
        <v>10</v>
      </c>
    </row>
    <row r="10" customFormat="false" ht="15" hidden="false" customHeight="true" outlineLevel="0" collapsed="false">
      <c r="A10" s="6" t="s">
        <v>11</v>
      </c>
      <c r="B10" s="7" t="n">
        <v>500</v>
      </c>
      <c r="D10" s="3" t="s">
        <v>12</v>
      </c>
    </row>
    <row r="11" customFormat="false" ht="15" hidden="false" customHeight="true" outlineLevel="0" collapsed="false">
      <c r="A11" s="6" t="s">
        <v>13</v>
      </c>
      <c r="B11" s="7" t="n">
        <v>400</v>
      </c>
      <c r="D11" s="3" t="s">
        <v>14</v>
      </c>
    </row>
    <row r="12" customFormat="false" ht="15" hidden="false" customHeight="true" outlineLevel="0" collapsed="false">
      <c r="A12" s="6" t="s">
        <v>15</v>
      </c>
      <c r="B12" s="11" t="n">
        <v>2032</v>
      </c>
      <c r="D12" s="3" t="s">
        <v>16</v>
      </c>
    </row>
    <row r="13" customFormat="false" ht="15" hidden="false" customHeight="true" outlineLevel="0" collapsed="false">
      <c r="A13" s="6" t="s">
        <v>17</v>
      </c>
      <c r="B13" s="9" t="n">
        <v>2500000</v>
      </c>
      <c r="D13" s="3" t="s">
        <v>18</v>
      </c>
    </row>
    <row r="14" customFormat="false" ht="15" hidden="false" customHeight="true" outlineLevel="0" collapsed="false">
      <c r="A14" s="6" t="s">
        <v>19</v>
      </c>
      <c r="B14" s="10" t="n">
        <v>2028</v>
      </c>
      <c r="D14" s="3" t="s">
        <v>20</v>
      </c>
    </row>
    <row r="15" customFormat="false" ht="15" hidden="false" customHeight="true" outlineLevel="0" collapsed="false">
      <c r="A15" s="6" t="s">
        <v>21</v>
      </c>
      <c r="B15" s="11" t="n">
        <v>2030</v>
      </c>
      <c r="D15" s="3" t="s">
        <v>22</v>
      </c>
    </row>
    <row r="16" customFormat="false" ht="15" hidden="false" customHeight="true" outlineLevel="0" collapsed="false">
      <c r="A16" s="12" t="s">
        <v>23</v>
      </c>
      <c r="B16" s="13" t="n">
        <v>1</v>
      </c>
      <c r="D16" s="3" t="s">
        <v>24</v>
      </c>
    </row>
    <row r="17" customFormat="false" ht="15" hidden="false" customHeight="true" outlineLevel="0" collapsed="false">
      <c r="A17" s="4" t="s">
        <v>25</v>
      </c>
      <c r="B17" s="5"/>
      <c r="C17" s="5"/>
      <c r="D17" s="5"/>
    </row>
    <row r="18" customFormat="false" ht="15" hidden="false" customHeight="true" outlineLevel="0" collapsed="false">
      <c r="A18" s="6" t="s">
        <v>26</v>
      </c>
      <c r="B18" s="14" t="n">
        <v>1.95</v>
      </c>
      <c r="D18" s="3" t="s">
        <v>27</v>
      </c>
    </row>
    <row r="19" customFormat="false" ht="15" hidden="false" customHeight="true" outlineLevel="0" collapsed="false">
      <c r="A19" s="6" t="s">
        <v>28</v>
      </c>
      <c r="B19" s="8" t="n">
        <v>0.05</v>
      </c>
      <c r="D19" s="3" t="s">
        <v>29</v>
      </c>
    </row>
    <row r="20" customFormat="false" ht="15" hidden="false" customHeight="true" outlineLevel="0" collapsed="false">
      <c r="A20" s="6" t="s">
        <v>30</v>
      </c>
      <c r="B20" s="15" t="n">
        <v>0.02</v>
      </c>
      <c r="D20" s="3" t="s">
        <v>31</v>
      </c>
    </row>
    <row r="21" customFormat="false" ht="15.75" hidden="false" customHeight="true" outlineLevel="0" collapsed="false">
      <c r="A21" s="6" t="s">
        <v>32</v>
      </c>
      <c r="B21" s="16" t="n">
        <v>1</v>
      </c>
      <c r="D21" s="3" t="s">
        <v>33</v>
      </c>
    </row>
    <row r="22" customFormat="false" ht="15" hidden="false" customHeight="true" outlineLevel="0" collapsed="false">
      <c r="A22" s="4" t="s">
        <v>34</v>
      </c>
      <c r="B22" s="5"/>
      <c r="C22" s="5"/>
      <c r="D22" s="5"/>
    </row>
    <row r="23" customFormat="false" ht="15" hidden="false" customHeight="true" outlineLevel="0" collapsed="false">
      <c r="A23" s="6" t="s">
        <v>35</v>
      </c>
      <c r="B23" s="17" t="n">
        <v>1000000</v>
      </c>
      <c r="D23" s="3" t="s">
        <v>36</v>
      </c>
    </row>
    <row r="24" customFormat="false" ht="15" hidden="false" customHeight="true" outlineLevel="0" collapsed="false">
      <c r="A24" s="6" t="s">
        <v>37</v>
      </c>
      <c r="B24" s="18" t="n">
        <v>450000</v>
      </c>
      <c r="D24" s="3" t="s">
        <v>38</v>
      </c>
    </row>
    <row r="25" customFormat="false" ht="15" hidden="false" customHeight="true" outlineLevel="0" collapsed="false">
      <c r="A25" s="6" t="s">
        <v>39</v>
      </c>
      <c r="B25" s="18" t="n">
        <v>250000</v>
      </c>
      <c r="D25" s="3" t="s">
        <v>40</v>
      </c>
    </row>
    <row r="26" customFormat="false" ht="15" hidden="false" customHeight="true" outlineLevel="0" collapsed="false">
      <c r="A26" s="6" t="s">
        <v>41</v>
      </c>
      <c r="B26" s="14" t="n">
        <v>0.055</v>
      </c>
      <c r="D26" s="3" t="s">
        <v>42</v>
      </c>
    </row>
    <row r="27" customFormat="false" ht="15" hidden="false" customHeight="true" outlineLevel="0" collapsed="false">
      <c r="A27" s="6" t="s">
        <v>43</v>
      </c>
      <c r="B27" s="17" t="n">
        <v>700000</v>
      </c>
      <c r="D27" s="3" t="s">
        <v>44</v>
      </c>
    </row>
    <row r="28" customFormat="false" ht="15" hidden="false" customHeight="true" outlineLevel="0" collapsed="false">
      <c r="A28" s="6" t="s">
        <v>45</v>
      </c>
      <c r="B28" s="18" t="n">
        <v>1500000</v>
      </c>
      <c r="D28" s="3" t="s">
        <v>46</v>
      </c>
    </row>
    <row r="29" customFormat="false" ht="15" hidden="false" customHeight="true" outlineLevel="0" collapsed="false">
      <c r="A29" s="6" t="s">
        <v>47</v>
      </c>
      <c r="B29" s="8" t="n">
        <v>0.5</v>
      </c>
      <c r="D29" s="3" t="s">
        <v>48</v>
      </c>
    </row>
    <row r="30" customFormat="false" ht="15" hidden="false" customHeight="true" outlineLevel="0" collapsed="false">
      <c r="A30" s="6" t="s">
        <v>49</v>
      </c>
      <c r="B30" s="18" t="n">
        <v>500000</v>
      </c>
      <c r="D30" s="3" t="s">
        <v>46</v>
      </c>
    </row>
    <row r="31" customFormat="false" ht="15" hidden="false" customHeight="true" outlineLevel="0" collapsed="false">
      <c r="A31" s="6" t="s">
        <v>50</v>
      </c>
      <c r="B31" s="18" t="n">
        <v>1200000</v>
      </c>
      <c r="D31" s="3" t="s">
        <v>46</v>
      </c>
    </row>
    <row r="32" customFormat="false" ht="15" hidden="false" customHeight="true" outlineLevel="0" collapsed="false">
      <c r="A32" s="6" t="s">
        <v>51</v>
      </c>
      <c r="B32" s="18" t="n">
        <v>3000000</v>
      </c>
      <c r="D32" s="3" t="s">
        <v>46</v>
      </c>
    </row>
    <row r="33" customFormat="false" ht="15" hidden="false" customHeight="true" outlineLevel="0" collapsed="false">
      <c r="A33" s="6" t="s">
        <v>52</v>
      </c>
      <c r="B33" s="19" t="n">
        <f aca="false">B30+B31+B32</f>
        <v>4700000</v>
      </c>
      <c r="D33" s="3" t="s">
        <v>53</v>
      </c>
    </row>
    <row r="34" customFormat="false" ht="15" hidden="false" customHeight="true" outlineLevel="0" collapsed="false">
      <c r="A34" s="6" t="s">
        <v>54</v>
      </c>
      <c r="B34" s="15" t="n">
        <v>0.5</v>
      </c>
      <c r="D34" s="3" t="s">
        <v>55</v>
      </c>
    </row>
    <row r="35" customFormat="false" ht="15" hidden="false" customHeight="true" outlineLevel="0" collapsed="false">
      <c r="A35" s="6" t="s">
        <v>56</v>
      </c>
      <c r="B35" s="18" t="n">
        <v>500000</v>
      </c>
      <c r="D35" s="3" t="s">
        <v>46</v>
      </c>
    </row>
    <row r="36" customFormat="false" ht="15" hidden="false" customHeight="true" outlineLevel="0" collapsed="false">
      <c r="A36" s="6" t="s">
        <v>57</v>
      </c>
      <c r="B36" s="15" t="n">
        <v>1</v>
      </c>
      <c r="D36" s="3" t="s">
        <v>58</v>
      </c>
    </row>
    <row r="37" customFormat="false" ht="15" hidden="false" customHeight="true" outlineLevel="0" collapsed="false">
      <c r="A37" s="6" t="s">
        <v>59</v>
      </c>
      <c r="B37" s="18" t="n">
        <v>1000000</v>
      </c>
      <c r="D37" s="3" t="s">
        <v>46</v>
      </c>
    </row>
    <row r="38" customFormat="false" ht="15" hidden="false" customHeight="true" outlineLevel="0" collapsed="false">
      <c r="A38" s="6" t="s">
        <v>60</v>
      </c>
      <c r="B38" s="15" t="n">
        <v>0.5</v>
      </c>
      <c r="D38" s="3" t="s">
        <v>61</v>
      </c>
    </row>
    <row r="39" customFormat="false" ht="15" hidden="false" customHeight="true" outlineLevel="0" collapsed="false">
      <c r="A39" s="6" t="s">
        <v>62</v>
      </c>
      <c r="B39" s="15" t="n">
        <v>0.02</v>
      </c>
      <c r="D39" s="3" t="s">
        <v>63</v>
      </c>
    </row>
    <row r="40" customFormat="false" ht="15.75" hidden="false" customHeight="true" outlineLevel="0" collapsed="false"/>
    <row r="41" customFormat="false" ht="15" hidden="false" customHeight="true" outlineLevel="0" collapsed="false">
      <c r="A41" s="4" t="s">
        <v>64</v>
      </c>
      <c r="B41" s="5"/>
      <c r="C41" s="5"/>
      <c r="D41" s="5"/>
    </row>
    <row r="42" customFormat="false" ht="15" hidden="false" customHeight="true" outlineLevel="0" collapsed="false">
      <c r="A42" s="6" t="s">
        <v>65</v>
      </c>
      <c r="B42" s="18" t="n">
        <v>120000000</v>
      </c>
      <c r="D42" s="3" t="s">
        <v>66</v>
      </c>
    </row>
    <row r="43" customFormat="false" ht="15" hidden="false" customHeight="true" outlineLevel="0" collapsed="false">
      <c r="A43" s="6" t="s">
        <v>67</v>
      </c>
      <c r="B43" s="18" t="n">
        <v>10000000</v>
      </c>
      <c r="D43" s="3" t="s">
        <v>68</v>
      </c>
    </row>
    <row r="44" customFormat="false" ht="15" hidden="false" customHeight="true" outlineLevel="0" collapsed="false">
      <c r="A44" s="6" t="s">
        <v>69</v>
      </c>
      <c r="B44" s="10" t="n">
        <v>2028</v>
      </c>
      <c r="D44" s="3" t="s">
        <v>63</v>
      </c>
    </row>
    <row r="45" customFormat="false" ht="15" hidden="false" customHeight="true" outlineLevel="0" collapsed="false">
      <c r="A45" s="6" t="s">
        <v>70</v>
      </c>
      <c r="B45" s="8" t="n">
        <v>0.045</v>
      </c>
      <c r="D45" s="3" t="s">
        <v>63</v>
      </c>
    </row>
    <row r="46" customFormat="false" ht="15" hidden="false" customHeight="true" outlineLevel="0" collapsed="false">
      <c r="A46" s="6" t="s">
        <v>71</v>
      </c>
      <c r="B46" s="10" t="n">
        <v>40</v>
      </c>
      <c r="D46" s="3" t="s">
        <v>72</v>
      </c>
    </row>
    <row r="47" customFormat="false" ht="15" hidden="false" customHeight="true" outlineLevel="0" collapsed="false">
      <c r="A47" s="6" t="s">
        <v>73</v>
      </c>
      <c r="B47" s="20" t="n">
        <f aca="false">B45/(1-(1+B45)^-B46)</f>
        <v>0.0543431466095894</v>
      </c>
      <c r="D47" s="3" t="s">
        <v>74</v>
      </c>
    </row>
    <row r="48" customFormat="false" ht="15.75" hidden="false" customHeight="true" outlineLevel="0" collapsed="false">
      <c r="A48" s="6" t="s">
        <v>75</v>
      </c>
      <c r="B48" s="10" t="n">
        <v>2029</v>
      </c>
      <c r="D48" s="3" t="s">
        <v>76</v>
      </c>
    </row>
    <row r="49" customFormat="false" ht="15" hidden="false" customHeight="true" outlineLevel="0" collapsed="false">
      <c r="A49" s="4" t="s">
        <v>77</v>
      </c>
      <c r="B49" s="5"/>
      <c r="C49" s="5"/>
      <c r="D49" s="5"/>
    </row>
    <row r="50" customFormat="false" ht="15" hidden="false" customHeight="true" outlineLevel="0" collapsed="false">
      <c r="A50" s="6" t="s">
        <v>78</v>
      </c>
      <c r="B50" s="17" t="n">
        <v>1000000</v>
      </c>
      <c r="D50" s="3" t="s">
        <v>79</v>
      </c>
    </row>
    <row r="51" customFormat="false" ht="15" hidden="false" customHeight="true" outlineLevel="0" collapsed="false">
      <c r="A51" s="6" t="s">
        <v>80</v>
      </c>
      <c r="B51" s="21" t="n">
        <v>11</v>
      </c>
      <c r="D51" s="3" t="s">
        <v>81</v>
      </c>
    </row>
    <row r="52" customFormat="false" ht="15" hidden="false" customHeight="true" outlineLevel="0" collapsed="false">
      <c r="A52" s="6" t="s">
        <v>82</v>
      </c>
      <c r="B52" s="17" t="n">
        <v>2500</v>
      </c>
      <c r="D52" s="3" t="s">
        <v>83</v>
      </c>
    </row>
    <row r="53" customFormat="false" ht="15" hidden="false" customHeight="true" outlineLevel="0" collapsed="false">
      <c r="A53" s="6" t="s">
        <v>84</v>
      </c>
      <c r="B53" s="15" t="n">
        <v>0.45</v>
      </c>
      <c r="D53" s="3" t="s">
        <v>85</v>
      </c>
    </row>
    <row r="54" customFormat="false" ht="15" hidden="false" customHeight="true" outlineLevel="0" collapsed="false">
      <c r="A54" s="6" t="s">
        <v>86</v>
      </c>
      <c r="B54" s="11" t="n">
        <v>1</v>
      </c>
      <c r="D54" s="3" t="s">
        <v>87</v>
      </c>
    </row>
    <row r="55" customFormat="false" ht="15" hidden="false" customHeight="true" outlineLevel="0" collapsed="false">
      <c r="A55" s="6" t="s">
        <v>88</v>
      </c>
      <c r="B55" s="19" t="n">
        <f aca="false">B51*1000*B52*((1-B53)+B53*IF(B54=1,0.5,1))</f>
        <v>21312500</v>
      </c>
      <c r="D55" s="3" t="s">
        <v>89</v>
      </c>
    </row>
    <row r="56" customFormat="false" ht="15" hidden="false" customHeight="true" outlineLevel="0" collapsed="false">
      <c r="A56" s="6" t="s">
        <v>90</v>
      </c>
      <c r="B56" s="18" t="n">
        <v>10000000</v>
      </c>
      <c r="D56" s="3" t="s">
        <v>91</v>
      </c>
    </row>
    <row r="57" customFormat="false" ht="15" hidden="false" customHeight="true" outlineLevel="0" collapsed="false">
      <c r="A57" s="6" t="s">
        <v>92</v>
      </c>
      <c r="B57" s="17" t="n">
        <v>9000000</v>
      </c>
      <c r="D57" s="3" t="s">
        <v>93</v>
      </c>
    </row>
    <row r="58" customFormat="false" ht="15" hidden="false" customHeight="true" outlineLevel="0" collapsed="false">
      <c r="A58" s="6" t="s">
        <v>94</v>
      </c>
      <c r="B58" s="15" t="n">
        <v>0.25</v>
      </c>
      <c r="D58" s="3" t="s">
        <v>95</v>
      </c>
    </row>
    <row r="59" customFormat="false" ht="15" hidden="false" customHeight="true" outlineLevel="0" collapsed="false">
      <c r="A59" s="6" t="s">
        <v>96</v>
      </c>
      <c r="B59" s="19" t="n">
        <f aca="false">(B55+B56+B57)*(1+B58)</f>
        <v>50390625</v>
      </c>
      <c r="D59" s="3" t="s">
        <v>97</v>
      </c>
    </row>
    <row r="60" customFormat="false" ht="15" hidden="false" customHeight="true" outlineLevel="0" collapsed="false">
      <c r="A60" s="6" t="s">
        <v>98</v>
      </c>
      <c r="B60" s="10" t="n">
        <v>2029</v>
      </c>
      <c r="D60" s="3" t="s">
        <v>99</v>
      </c>
    </row>
    <row r="61" customFormat="false" ht="15.75" hidden="false" customHeight="true" outlineLevel="0" collapsed="false"/>
    <row r="62" customFormat="false" ht="15" hidden="false" customHeight="true" outlineLevel="0" collapsed="false">
      <c r="A62" s="4" t="s">
        <v>100</v>
      </c>
      <c r="B62" s="5"/>
      <c r="C62" s="5"/>
      <c r="D62" s="5"/>
    </row>
    <row r="63" customFormat="false" ht="15" hidden="false" customHeight="true" outlineLevel="0" collapsed="false">
      <c r="A63" s="6" t="s">
        <v>101</v>
      </c>
      <c r="B63" s="22" t="n">
        <v>4600</v>
      </c>
      <c r="D63" s="3" t="s">
        <v>102</v>
      </c>
    </row>
    <row r="64" customFormat="false" ht="15.75" hidden="false" customHeight="true" outlineLevel="0" collapsed="false"/>
    <row r="65" customFormat="false" ht="15.75" hidden="false" customHeight="true" outlineLevel="0" collapsed="false">
      <c r="A65" s="4" t="s">
        <v>103</v>
      </c>
      <c r="B65" s="5"/>
      <c r="C65" s="5"/>
      <c r="D65" s="5"/>
    </row>
    <row r="66" customFormat="false" ht="15.75" hidden="false" customHeight="true" outlineLevel="0" collapsed="false">
      <c r="A66" s="12" t="s">
        <v>104</v>
      </c>
      <c r="B66" s="13" t="n">
        <v>2</v>
      </c>
      <c r="D66" s="3" t="s">
        <v>105</v>
      </c>
    </row>
    <row r="67" customFormat="false" ht="15.75" hidden="false" customHeight="true" outlineLevel="0" collapsed="false">
      <c r="A67" s="6" t="s">
        <v>106</v>
      </c>
      <c r="B67" s="17" t="n">
        <v>1200000</v>
      </c>
      <c r="D67" s="3" t="s">
        <v>107</v>
      </c>
    </row>
    <row r="68" customFormat="false" ht="15.75" hidden="false" customHeight="true" outlineLevel="0" collapsed="false">
      <c r="A68" s="6" t="s">
        <v>108</v>
      </c>
      <c r="B68" s="18" t="n">
        <v>400000</v>
      </c>
      <c r="D68" s="3" t="s">
        <v>109</v>
      </c>
    </row>
    <row r="69" customFormat="false" ht="15.75" hidden="false" customHeight="true" outlineLevel="0" collapsed="false">
      <c r="A69" s="6" t="s">
        <v>110</v>
      </c>
      <c r="B69" s="19" t="n">
        <f aca="false">IF(B66=1,B37,B67)</f>
        <v>1200000</v>
      </c>
      <c r="D69" s="3" t="s">
        <v>111</v>
      </c>
    </row>
    <row r="70" customFormat="false" ht="15.75" hidden="false" customHeight="true" outlineLevel="0" collapsed="false">
      <c r="A70" s="6" t="s">
        <v>112</v>
      </c>
      <c r="B70" s="19" t="n">
        <f aca="false">IF(B66=1,B33,B33-B68)</f>
        <v>4300000</v>
      </c>
      <c r="D70" s="3" t="s">
        <v>113</v>
      </c>
    </row>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C5" activeCellId="0" sqref="C5"/>
    </sheetView>
  </sheetViews>
  <sheetFormatPr defaultColWidth="14.42578125" defaultRowHeight="15" zeroHeight="false" outlineLevelRow="0" outlineLevelCol="0"/>
  <cols>
    <col collapsed="false" customWidth="true" hidden="false" outlineLevel="0" max="1" min="1" style="1" width="34"/>
    <col collapsed="false" customWidth="true" hidden="false" outlineLevel="0" max="2" min="2" style="1" width="9"/>
    <col collapsed="false" customWidth="true" hidden="false" outlineLevel="0" max="12" min="3" style="1" width="12"/>
    <col collapsed="false" customWidth="true" hidden="false" outlineLevel="0" max="16" min="13" style="1" width="8.71"/>
  </cols>
  <sheetData>
    <row r="1" customFormat="false" ht="17.25" hidden="false" customHeight="true" outlineLevel="0" collapsed="false">
      <c r="A1" s="2" t="s">
        <v>114</v>
      </c>
    </row>
    <row r="2" customFormat="false" ht="15" hidden="false" customHeight="true" outlineLevel="0" collapsed="false">
      <c r="A2" s="3" t="s">
        <v>115</v>
      </c>
    </row>
    <row r="3" customFormat="false" ht="15" hidden="false" customHeight="true" outlineLevel="0" collapsed="false"/>
    <row r="4" customFormat="false" ht="15" hidden="false" customHeight="true" outlineLevel="0" collapsed="false">
      <c r="A4" s="23" t="s">
        <v>116</v>
      </c>
      <c r="C4" s="24" t="n">
        <v>2027</v>
      </c>
      <c r="D4" s="24" t="n">
        <v>2028</v>
      </c>
      <c r="E4" s="24" t="n">
        <v>2029</v>
      </c>
      <c r="F4" s="24" t="n">
        <v>2030</v>
      </c>
      <c r="G4" s="24" t="n">
        <v>2031</v>
      </c>
      <c r="H4" s="24" t="n">
        <v>2032</v>
      </c>
      <c r="I4" s="24" t="n">
        <v>2033</v>
      </c>
      <c r="J4" s="24" t="n">
        <v>2034</v>
      </c>
      <c r="K4" s="24" t="n">
        <v>2035</v>
      </c>
      <c r="L4" s="24" t="n">
        <v>2036</v>
      </c>
      <c r="M4" s="25" t="n">
        <v>2037</v>
      </c>
      <c r="N4" s="25" t="n">
        <v>2038</v>
      </c>
      <c r="O4" s="25" t="n">
        <v>2039</v>
      </c>
      <c r="P4" s="25" t="n">
        <v>2040</v>
      </c>
    </row>
    <row r="5" customFormat="false" ht="15" hidden="false" customHeight="true" outlineLevel="0" collapsed="false"/>
    <row r="6" customFormat="false" ht="15" hidden="false" customHeight="true" outlineLevel="0" collapsed="false">
      <c r="A6" s="4" t="s">
        <v>117</v>
      </c>
      <c r="B6" s="4"/>
      <c r="C6" s="4"/>
      <c r="D6" s="4"/>
      <c r="E6" s="4"/>
      <c r="F6" s="4"/>
      <c r="G6" s="4"/>
      <c r="H6" s="4"/>
      <c r="I6" s="4"/>
      <c r="J6" s="4"/>
      <c r="K6" s="4"/>
      <c r="L6" s="4"/>
    </row>
    <row r="7" customFormat="false" ht="15" hidden="false" customHeight="true" outlineLevel="0" collapsed="false">
      <c r="A7" s="6" t="s">
        <v>118</v>
      </c>
      <c r="B7" s="3" t="s">
        <v>119</v>
      </c>
      <c r="C7" s="26" t="n">
        <f aca="false">Assumptions!$B$6*(1+Assumptions!$B$7)^(C$4-2027)</f>
        <v>7200000</v>
      </c>
      <c r="D7" s="26" t="n">
        <f aca="false">Assumptions!$B$6*(1+Assumptions!$B$7)^(D$4-2027)</f>
        <v>7308000</v>
      </c>
      <c r="E7" s="26" t="n">
        <f aca="false">Assumptions!$B$6*(1+Assumptions!$B$7)^(E$4-2027)</f>
        <v>7417620</v>
      </c>
      <c r="F7" s="26" t="n">
        <f aca="false">Assumptions!$B$6*(1+Assumptions!$B$7)^(F$4-2027)</f>
        <v>7528884.3</v>
      </c>
      <c r="G7" s="26" t="n">
        <f aca="false">Assumptions!$B$6*(1+Assumptions!$B$7)^(G$4-2027)</f>
        <v>7641817.5645</v>
      </c>
      <c r="H7" s="26" t="n">
        <f aca="false">Assumptions!$B$6*(1+Assumptions!$B$7)^(H$4-2027)</f>
        <v>7756444.8279675</v>
      </c>
      <c r="I7" s="26" t="n">
        <f aca="false">Assumptions!$B$6*(1+Assumptions!$B$7)^(I$4-2027)</f>
        <v>7872791.50038701</v>
      </c>
      <c r="J7" s="26" t="n">
        <f aca="false">Assumptions!$B$6*(1+Assumptions!$B$7)^(J$4-2027)</f>
        <v>7990883.37289281</v>
      </c>
      <c r="K7" s="26" t="n">
        <f aca="false">Assumptions!$B$6*(1+Assumptions!$B$7)^(K$4-2027)</f>
        <v>8110746.6234862</v>
      </c>
      <c r="L7" s="26" t="n">
        <f aca="false">Assumptions!$B$6*(1+Assumptions!$B$7)^(L$4-2027)</f>
        <v>8232407.8228385</v>
      </c>
      <c r="M7" s="27" t="n">
        <f aca="false">Assumptions!$B$6*(1+Assumptions!$B$7)^(M$4-2027)</f>
        <v>8355893.94018107</v>
      </c>
      <c r="N7" s="27" t="n">
        <f aca="false">Assumptions!$B$6*(1+Assumptions!$B$7)^(N$4-2027)</f>
        <v>8481232.34928379</v>
      </c>
      <c r="O7" s="27" t="n">
        <f aca="false">Assumptions!$B$6*(1+Assumptions!$B$7)^(O$4-2027)</f>
        <v>8608450.83452305</v>
      </c>
      <c r="P7" s="27" t="n">
        <f aca="false">Assumptions!$B$6*(1+Assumptions!$B$7)^(P$4-2027)</f>
        <v>8737577.59704089</v>
      </c>
    </row>
    <row r="8" customFormat="false" ht="15" hidden="false" customHeight="true" outlineLevel="0" collapsed="false">
      <c r="A8" s="6" t="s">
        <v>120</v>
      </c>
      <c r="B8" s="3" t="s">
        <v>119</v>
      </c>
      <c r="C8" s="26" t="n">
        <f aca="false">IF(C$4&gt;=Assumptions!$B$9,Assumptions!$B$8,0)+IF(C$4&gt;=Assumptions!$B$12,Assumptions!$B$10*Assumptions!$B$11,0)</f>
        <v>0</v>
      </c>
      <c r="D8" s="26" t="n">
        <f aca="false">IF(D$4&gt;=Assumptions!$B$9,Assumptions!$B$8,0)+IF(D$4&gt;=Assumptions!$B$12,Assumptions!$B$10*Assumptions!$B$11,0)</f>
        <v>100000</v>
      </c>
      <c r="E8" s="26" t="n">
        <f aca="false">IF(E$4&gt;=Assumptions!$B$9,Assumptions!$B$8,0)+IF(E$4&gt;=Assumptions!$B$12,Assumptions!$B$10*Assumptions!$B$11,0)</f>
        <v>100000</v>
      </c>
      <c r="F8" s="26" t="n">
        <f aca="false">IF(F$4&gt;=Assumptions!$B$9,Assumptions!$B$8,0)+IF(F$4&gt;=Assumptions!$B$12,Assumptions!$B$10*Assumptions!$B$11,0)</f>
        <v>100000</v>
      </c>
      <c r="G8" s="26" t="n">
        <f aca="false">IF(G$4&gt;=Assumptions!$B$9,Assumptions!$B$8,0)+IF(G$4&gt;=Assumptions!$B$12,Assumptions!$B$10*Assumptions!$B$11,0)</f>
        <v>100000</v>
      </c>
      <c r="H8" s="26" t="n">
        <f aca="false">IF(H$4&gt;=Assumptions!$B$9,Assumptions!$B$8,0)+IF(H$4&gt;=Assumptions!$B$12,Assumptions!$B$10*Assumptions!$B$11,0)</f>
        <v>300000</v>
      </c>
      <c r="I8" s="26" t="n">
        <f aca="false">IF(I$4&gt;=Assumptions!$B$9,Assumptions!$B$8,0)+IF(I$4&gt;=Assumptions!$B$12,Assumptions!$B$10*Assumptions!$B$11,0)</f>
        <v>300000</v>
      </c>
      <c r="J8" s="26" t="n">
        <f aca="false">IF(J$4&gt;=Assumptions!$B$9,Assumptions!$B$8,0)+IF(J$4&gt;=Assumptions!$B$12,Assumptions!$B$10*Assumptions!$B$11,0)</f>
        <v>300000</v>
      </c>
      <c r="K8" s="26" t="n">
        <f aca="false">IF(K$4&gt;=Assumptions!$B$9,Assumptions!$B$8,0)+IF(K$4&gt;=Assumptions!$B$12,Assumptions!$B$10*Assumptions!$B$11,0)</f>
        <v>300000</v>
      </c>
      <c r="L8" s="26" t="n">
        <f aca="false">IF(L$4&gt;=Assumptions!$B$9,Assumptions!$B$8,0)+IF(L$4&gt;=Assumptions!$B$12,Assumptions!$B$10*Assumptions!$B$11,0)</f>
        <v>300000</v>
      </c>
      <c r="M8" s="27" t="n">
        <f aca="false">IF(M$4&gt;=Assumptions!$B$9,Assumptions!$B$8,0)+IF(M$4&gt;=Assumptions!$B$12,Assumptions!$B$10*Assumptions!$B$11,0)</f>
        <v>300000</v>
      </c>
      <c r="N8" s="27" t="n">
        <f aca="false">IF(N$4&gt;=Assumptions!$B$9,Assumptions!$B$8,0)+IF(N$4&gt;=Assumptions!$B$12,Assumptions!$B$10*Assumptions!$B$11,0)</f>
        <v>300000</v>
      </c>
      <c r="O8" s="27" t="n">
        <f aca="false">IF(O$4&gt;=Assumptions!$B$9,Assumptions!$B$8,0)+IF(O$4&gt;=Assumptions!$B$12,Assumptions!$B$10*Assumptions!$B$11,0)</f>
        <v>300000</v>
      </c>
      <c r="P8" s="27" t="n">
        <f aca="false">IF(P$4&gt;=Assumptions!$B$9,Assumptions!$B$8,0)+IF(P$4&gt;=Assumptions!$B$12,Assumptions!$B$10*Assumptions!$B$11,0)</f>
        <v>300000</v>
      </c>
    </row>
    <row r="9" customFormat="false" ht="15" hidden="false" customHeight="true" outlineLevel="0" collapsed="false">
      <c r="A9" s="6" t="s">
        <v>121</v>
      </c>
      <c r="B9" s="3" t="s">
        <v>119</v>
      </c>
      <c r="C9" s="26" t="n">
        <f aca="false">IF(AND(Assumptions!$B$16=1,C$4&gt;=Assumptions!$B$60),Assumptions!$B$13,0)</f>
        <v>0</v>
      </c>
      <c r="D9" s="26" t="n">
        <f aca="false">IF(AND(Assumptions!$B$16=1,D$4&gt;=Assumptions!$B$60),Assumptions!$B$13,0)</f>
        <v>0</v>
      </c>
      <c r="E9" s="26" t="n">
        <f aca="false">IF(AND(Assumptions!$B$16=1,E$4&gt;=Assumptions!$B$60),Assumptions!$B$13,0)</f>
        <v>2500000</v>
      </c>
      <c r="F9" s="26" t="n">
        <f aca="false">IF(AND(Assumptions!$B$16=1,F$4&gt;=Assumptions!$B$60),Assumptions!$B$13,0)</f>
        <v>2500000</v>
      </c>
      <c r="G9" s="26" t="n">
        <f aca="false">IF(AND(Assumptions!$B$16=1,G$4&gt;=Assumptions!$B$60),Assumptions!$B$13,0)</f>
        <v>2500000</v>
      </c>
      <c r="H9" s="26" t="n">
        <f aca="false">IF(AND(Assumptions!$B$16=1,H$4&gt;=Assumptions!$B$60),Assumptions!$B$13,0)</f>
        <v>2500000</v>
      </c>
      <c r="I9" s="26" t="n">
        <f aca="false">IF(AND(Assumptions!$B$16=1,I$4&gt;=Assumptions!$B$60),Assumptions!$B$13,0)</f>
        <v>2500000</v>
      </c>
      <c r="J9" s="26" t="n">
        <f aca="false">IF(AND(Assumptions!$B$16=1,J$4&gt;=Assumptions!$B$60),Assumptions!$B$13,0)</f>
        <v>2500000</v>
      </c>
      <c r="K9" s="26" t="n">
        <f aca="false">IF(AND(Assumptions!$B$16=1,K$4&gt;=Assumptions!$B$60),Assumptions!$B$13,0)</f>
        <v>2500000</v>
      </c>
      <c r="L9" s="26" t="n">
        <f aca="false">IF(AND(Assumptions!$B$16=1,L$4&gt;=Assumptions!$B$60),Assumptions!$B$13,0)</f>
        <v>2500000</v>
      </c>
      <c r="M9" s="27" t="n">
        <f aca="false">IF(AND(Assumptions!$B$16=1,M$4&gt;=Assumptions!$B$60),Assumptions!$B$13,0)</f>
        <v>2500000</v>
      </c>
      <c r="N9" s="27" t="n">
        <f aca="false">IF(AND(Assumptions!$B$16=1,N$4&gt;=Assumptions!$B$60),Assumptions!$B$13,0)</f>
        <v>2500000</v>
      </c>
      <c r="O9" s="27" t="n">
        <f aca="false">IF(AND(Assumptions!$B$16=1,O$4&gt;=Assumptions!$B$60),Assumptions!$B$13,0)</f>
        <v>2500000</v>
      </c>
      <c r="P9" s="27" t="n">
        <f aca="false">IF(AND(Assumptions!$B$16=1,P$4&gt;=Assumptions!$B$60),Assumptions!$B$13,0)</f>
        <v>2500000</v>
      </c>
    </row>
    <row r="10" customFormat="false" ht="15" hidden="false" customHeight="true" outlineLevel="0" collapsed="false">
      <c r="A10" s="23" t="s">
        <v>122</v>
      </c>
      <c r="B10" s="3" t="s">
        <v>119</v>
      </c>
      <c r="C10" s="28" t="n">
        <f aca="false">C7+C8+C9</f>
        <v>7200000</v>
      </c>
      <c r="D10" s="28" t="n">
        <f aca="false">D7+D8+D9</f>
        <v>7408000</v>
      </c>
      <c r="E10" s="28" t="n">
        <f aca="false">E7+E8+E9</f>
        <v>10017620</v>
      </c>
      <c r="F10" s="28" t="n">
        <f aca="false">F7+F8+F9</f>
        <v>10128884.3</v>
      </c>
      <c r="G10" s="28" t="n">
        <f aca="false">G7+G8+G9</f>
        <v>10241817.5645</v>
      </c>
      <c r="H10" s="28" t="n">
        <f aca="false">H7+H8+H9</f>
        <v>10556444.8279675</v>
      </c>
      <c r="I10" s="28" t="n">
        <f aca="false">I7+I8+I9</f>
        <v>10672791.500387</v>
      </c>
      <c r="J10" s="28" t="n">
        <f aca="false">J7+J8+J9</f>
        <v>10790883.3728928</v>
      </c>
      <c r="K10" s="28" t="n">
        <f aca="false">K7+K8+K9</f>
        <v>10910746.6234862</v>
      </c>
      <c r="L10" s="28" t="n">
        <f aca="false">L7+L8+L9</f>
        <v>11032407.8228385</v>
      </c>
      <c r="M10" s="27" t="n">
        <f aca="false">M7+M8+M9</f>
        <v>11155893.9401811</v>
      </c>
      <c r="N10" s="27" t="n">
        <f aca="false">N7+N8+N9</f>
        <v>11281232.3492838</v>
      </c>
      <c r="O10" s="27" t="n">
        <f aca="false">O7+O8+O9</f>
        <v>11408450.834523</v>
      </c>
      <c r="P10" s="27" t="n">
        <f aca="false">P7+P8+P9</f>
        <v>11537577.5970409</v>
      </c>
    </row>
    <row r="11" customFormat="false" ht="15" hidden="false" customHeight="true" outlineLevel="0" collapsed="false">
      <c r="A11" s="6" t="s">
        <v>123</v>
      </c>
      <c r="B11" s="3" t="s">
        <v>124</v>
      </c>
      <c r="C11" s="29" t="n">
        <f aca="false">Assumptions!$B$18*(1+Assumptions!$B$19)^MIN(3,C$4-2027)*(1+Assumptions!$B$20)^MAX(0,C$4-2027-3)</f>
        <v>1.95</v>
      </c>
      <c r="D11" s="29" t="n">
        <f aca="false">Assumptions!$B$18*(1+Assumptions!$B$19)^MIN(3,D$4-2027)*(1+Assumptions!$B$20)^MAX(0,D$4-2027-3)</f>
        <v>2.0475</v>
      </c>
      <c r="E11" s="29" t="n">
        <f aca="false">Assumptions!$B$18*(1+Assumptions!$B$19)^MIN(3,E$4-2027)*(1+Assumptions!$B$20)^MAX(0,E$4-2027-3)</f>
        <v>2.149875</v>
      </c>
      <c r="F11" s="29" t="n">
        <f aca="false">Assumptions!$B$18*(1+Assumptions!$B$19)^MIN(3,F$4-2027)*(1+Assumptions!$B$20)^MAX(0,F$4-2027-3)</f>
        <v>2.25736875</v>
      </c>
      <c r="G11" s="29" t="n">
        <f aca="false">Assumptions!$B$18*(1+Assumptions!$B$19)^MIN(3,G$4-2027)*(1+Assumptions!$B$20)^MAX(0,G$4-2027-3)</f>
        <v>2.302516125</v>
      </c>
      <c r="H11" s="29" t="n">
        <f aca="false">Assumptions!$B$18*(1+Assumptions!$B$19)^MIN(3,H$4-2027)*(1+Assumptions!$B$20)^MAX(0,H$4-2027-3)</f>
        <v>2.3485664475</v>
      </c>
      <c r="I11" s="29" t="n">
        <f aca="false">Assumptions!$B$18*(1+Assumptions!$B$19)^MIN(3,I$4-2027)*(1+Assumptions!$B$20)^MAX(0,I$4-2027-3)</f>
        <v>2.39553777645</v>
      </c>
      <c r="J11" s="29" t="n">
        <f aca="false">Assumptions!$B$18*(1+Assumptions!$B$19)^MIN(3,J$4-2027)*(1+Assumptions!$B$20)^MAX(0,J$4-2027-3)</f>
        <v>2.443448531979</v>
      </c>
      <c r="K11" s="29" t="n">
        <f aca="false">Assumptions!$B$18*(1+Assumptions!$B$19)^MIN(3,K$4-2027)*(1+Assumptions!$B$20)^MAX(0,K$4-2027-3)</f>
        <v>2.49231750261858</v>
      </c>
      <c r="L11" s="29" t="n">
        <f aca="false">Assumptions!$B$18*(1+Assumptions!$B$19)^MIN(3,L$4-2027)*(1+Assumptions!$B$20)^MAX(0,L$4-2027-3)</f>
        <v>2.54216385267095</v>
      </c>
      <c r="M11" s="30" t="n">
        <f aca="false">Assumptions!$B$18*(1+Assumptions!$B$19)^MIN(3,M$4-2027)*(1+Assumptions!$B$20)^MAX(0,M$4-2027-3)</f>
        <v>2.59300712972437</v>
      </c>
      <c r="N11" s="30" t="n">
        <f aca="false">Assumptions!$B$18*(1+Assumptions!$B$19)^MIN(3,N$4-2027)*(1+Assumptions!$B$20)^MAX(0,N$4-2027-3)</f>
        <v>2.64486727231886</v>
      </c>
      <c r="O11" s="30" t="n">
        <f aca="false">Assumptions!$B$18*(1+Assumptions!$B$19)^MIN(3,O$4-2027)*(1+Assumptions!$B$20)^MAX(0,O$4-2027-3)</f>
        <v>2.69776461776524</v>
      </c>
      <c r="P11" s="30" t="n">
        <f aca="false">Assumptions!$B$18*(1+Assumptions!$B$19)^MIN(3,P$4-2027)*(1+Assumptions!$B$20)^MAX(0,P$4-2027-3)</f>
        <v>2.75171991012054</v>
      </c>
    </row>
    <row r="12" customFormat="false" ht="15" hidden="false" customHeight="true" outlineLevel="0" collapsed="false">
      <c r="A12" s="6" t="s">
        <v>125</v>
      </c>
      <c r="B12" s="3" t="s">
        <v>126</v>
      </c>
      <c r="C12" s="31" t="n">
        <f aca="false">Assumptions!$B$21</f>
        <v>1</v>
      </c>
      <c r="D12" s="31" t="n">
        <f aca="false">Assumptions!$B$21</f>
        <v>1</v>
      </c>
      <c r="E12" s="31" t="n">
        <f aca="false">Assumptions!$B$21</f>
        <v>1</v>
      </c>
      <c r="F12" s="31" t="n">
        <f aca="false">Assumptions!$B$21</f>
        <v>1</v>
      </c>
      <c r="G12" s="31" t="n">
        <f aca="false">Assumptions!$B$21</f>
        <v>1</v>
      </c>
      <c r="H12" s="31" t="n">
        <f aca="false">Assumptions!$B$21</f>
        <v>1</v>
      </c>
      <c r="I12" s="31" t="n">
        <f aca="false">Assumptions!$B$21</f>
        <v>1</v>
      </c>
      <c r="J12" s="31" t="n">
        <f aca="false">Assumptions!$B$21</f>
        <v>1</v>
      </c>
      <c r="K12" s="31" t="n">
        <f aca="false">Assumptions!$B$21</f>
        <v>1</v>
      </c>
      <c r="L12" s="31" t="n">
        <f aca="false">Assumptions!$B$21</f>
        <v>1</v>
      </c>
      <c r="M12" s="32" t="n">
        <f aca="false">Assumptions!$B$21</f>
        <v>1</v>
      </c>
      <c r="N12" s="32" t="n">
        <f aca="false">Assumptions!$B$21</f>
        <v>1</v>
      </c>
      <c r="O12" s="32" t="n">
        <f aca="false">Assumptions!$B$21</f>
        <v>1</v>
      </c>
      <c r="P12" s="32" t="n">
        <f aca="false">Assumptions!$B$21</f>
        <v>1</v>
      </c>
    </row>
    <row r="13" customFormat="false" ht="15" hidden="false" customHeight="true" outlineLevel="0" collapsed="false">
      <c r="A13" s="23" t="s">
        <v>127</v>
      </c>
      <c r="B13" s="3" t="s">
        <v>128</v>
      </c>
      <c r="C13" s="33" t="n">
        <f aca="false">C10*C11*C12</f>
        <v>14040000</v>
      </c>
      <c r="D13" s="33" t="n">
        <f aca="false">D10*D11*D12</f>
        <v>15167880</v>
      </c>
      <c r="E13" s="33" t="n">
        <f aca="false">E10*E11*E12</f>
        <v>21536630.7975</v>
      </c>
      <c r="F13" s="33" t="n">
        <f aca="false">F10*F11*F12</f>
        <v>22864626.8911856</v>
      </c>
      <c r="G13" s="33" t="n">
        <f aca="false">G10*G11*G12</f>
        <v>23581950.0915695</v>
      </c>
      <c r="H13" s="33" t="n">
        <f aca="false">H10*H11*H12</f>
        <v>24792512.1278494</v>
      </c>
      <c r="I13" s="33" t="n">
        <f aca="false">I10*I11*I12</f>
        <v>25567075.2193516</v>
      </c>
      <c r="J13" s="33" t="n">
        <f aca="false">J10*J11*J12</f>
        <v>26366968.1362515</v>
      </c>
      <c r="K13" s="33" t="n">
        <f aca="false">K10*K11*K12</f>
        <v>27193044.7763512</v>
      </c>
      <c r="L13" s="33" t="n">
        <f aca="false">L10*L11*L12</f>
        <v>28046188.3751443</v>
      </c>
      <c r="M13" s="34" t="n">
        <f aca="false">M10*M11*M12</f>
        <v>28927312.5253384</v>
      </c>
      <c r="N13" s="34" t="n">
        <f aca="false">N10*N11*N12</f>
        <v>29837362.2320455</v>
      </c>
      <c r="O13" s="34" t="n">
        <f aca="false">O10*O11*O12</f>
        <v>30777315.0048906</v>
      </c>
      <c r="P13" s="34" t="n">
        <f aca="false">P10*P11*P12</f>
        <v>31748181.9883381</v>
      </c>
    </row>
    <row r="14" customFormat="false" ht="15" hidden="false" customHeight="true" outlineLevel="0" collapsed="false"/>
    <row r="15" customFormat="false" ht="15" hidden="false" customHeight="true" outlineLevel="0" collapsed="false">
      <c r="A15" s="4" t="s">
        <v>129</v>
      </c>
      <c r="B15" s="4"/>
      <c r="C15" s="4"/>
      <c r="D15" s="4"/>
      <c r="E15" s="4"/>
      <c r="F15" s="4"/>
      <c r="G15" s="4"/>
      <c r="H15" s="4"/>
      <c r="I15" s="4"/>
      <c r="J15" s="4"/>
      <c r="K15" s="4"/>
      <c r="L15" s="4"/>
    </row>
    <row r="16" customFormat="false" ht="15" hidden="false" customHeight="true" outlineLevel="0" collapsed="false">
      <c r="A16" s="6" t="s">
        <v>130</v>
      </c>
      <c r="B16" s="3" t="s">
        <v>128</v>
      </c>
      <c r="C16" s="35" t="n">
        <f aca="false">Assumptions!$B$23*(1+Assumptions!$B$39)^(C$4-2027)</f>
        <v>1000000</v>
      </c>
      <c r="D16" s="35" t="n">
        <f aca="false">Assumptions!$B$23*(1+Assumptions!$B$39)^(D$4-2027)</f>
        <v>1020000</v>
      </c>
      <c r="E16" s="35" t="n">
        <f aca="false">Assumptions!$B$23*(1+Assumptions!$B$39)^(E$4-2027)</f>
        <v>1040400</v>
      </c>
      <c r="F16" s="35" t="n">
        <f aca="false">Assumptions!$B$23*(1+Assumptions!$B$39)^(F$4-2027)</f>
        <v>1061208</v>
      </c>
      <c r="G16" s="35" t="n">
        <f aca="false">Assumptions!$B$23*(1+Assumptions!$B$39)^(G$4-2027)</f>
        <v>1082432.16</v>
      </c>
      <c r="H16" s="35" t="n">
        <f aca="false">Assumptions!$B$23*(1+Assumptions!$B$39)^(H$4-2027)</f>
        <v>1104080.8032</v>
      </c>
      <c r="I16" s="35" t="n">
        <f aca="false">Assumptions!$B$23*(1+Assumptions!$B$39)^(I$4-2027)</f>
        <v>1126162.419264</v>
      </c>
      <c r="J16" s="35" t="n">
        <f aca="false">Assumptions!$B$23*(1+Assumptions!$B$39)^(J$4-2027)</f>
        <v>1148685.66764928</v>
      </c>
      <c r="K16" s="35" t="n">
        <f aca="false">Assumptions!$B$23*(1+Assumptions!$B$39)^(K$4-2027)</f>
        <v>1171659.38100227</v>
      </c>
      <c r="L16" s="35" t="n">
        <f aca="false">Assumptions!$B$23*(1+Assumptions!$B$39)^(L$4-2027)</f>
        <v>1195092.56862231</v>
      </c>
      <c r="M16" s="34" t="n">
        <f aca="false">Assumptions!$B$23*(1+Assumptions!$B$39)^(M$4-2027)</f>
        <v>1218994.41999476</v>
      </c>
      <c r="N16" s="34" t="n">
        <f aca="false">Assumptions!$B$23*(1+Assumptions!$B$39)^(N$4-2027)</f>
        <v>1243374.30839465</v>
      </c>
      <c r="O16" s="34" t="n">
        <f aca="false">Assumptions!$B$23*(1+Assumptions!$B$39)^(O$4-2027)</f>
        <v>1268241.79456255</v>
      </c>
      <c r="P16" s="34" t="n">
        <f aca="false">Assumptions!$B$23*(1+Assumptions!$B$39)^(P$4-2027)</f>
        <v>1293606.6304538</v>
      </c>
    </row>
    <row r="17" customFormat="false" ht="15" hidden="false" customHeight="true" outlineLevel="0" collapsed="false">
      <c r="A17" s="6" t="s">
        <v>131</v>
      </c>
      <c r="B17" s="3" t="s">
        <v>128</v>
      </c>
      <c r="C17" s="35" t="n">
        <f aca="false">Assumptions!$B$24*(1+Assumptions!$B$39)^(C$4-2027)</f>
        <v>450000</v>
      </c>
      <c r="D17" s="35" t="n">
        <f aca="false">Assumptions!$B$24*(1+Assumptions!$B$39)^(D$4-2027)</f>
        <v>459000</v>
      </c>
      <c r="E17" s="35" t="n">
        <f aca="false">Assumptions!$B$24*(1+Assumptions!$B$39)^(E$4-2027)</f>
        <v>468180</v>
      </c>
      <c r="F17" s="35" t="n">
        <f aca="false">Assumptions!$B$24*(1+Assumptions!$B$39)^(F$4-2027)</f>
        <v>477543.6</v>
      </c>
      <c r="G17" s="35" t="n">
        <f aca="false">Assumptions!$B$24*(1+Assumptions!$B$39)^(G$4-2027)</f>
        <v>487094.472</v>
      </c>
      <c r="H17" s="35" t="n">
        <f aca="false">Assumptions!$B$24*(1+Assumptions!$B$39)^(H$4-2027)</f>
        <v>496836.36144</v>
      </c>
      <c r="I17" s="35" t="n">
        <f aca="false">Assumptions!$B$24*(1+Assumptions!$B$39)^(I$4-2027)</f>
        <v>506773.0886688</v>
      </c>
      <c r="J17" s="35" t="n">
        <f aca="false">Assumptions!$B$24*(1+Assumptions!$B$39)^(J$4-2027)</f>
        <v>516908.550442176</v>
      </c>
      <c r="K17" s="35" t="n">
        <f aca="false">Assumptions!$B$24*(1+Assumptions!$B$39)^(K$4-2027)</f>
        <v>527246.72145102</v>
      </c>
      <c r="L17" s="35" t="n">
        <f aca="false">Assumptions!$B$24*(1+Assumptions!$B$39)^(L$4-2027)</f>
        <v>537791.65588004</v>
      </c>
      <c r="M17" s="34" t="n">
        <f aca="false">Assumptions!$B$24*(1+Assumptions!$B$39)^(M$4-2027)</f>
        <v>548547.488997641</v>
      </c>
      <c r="N17" s="34" t="n">
        <f aca="false">Assumptions!$B$24*(1+Assumptions!$B$39)^(N$4-2027)</f>
        <v>559518.438777594</v>
      </c>
      <c r="O17" s="34" t="n">
        <f aca="false">Assumptions!$B$24*(1+Assumptions!$B$39)^(O$4-2027)</f>
        <v>570708.807553146</v>
      </c>
      <c r="P17" s="34" t="n">
        <f aca="false">Assumptions!$B$24*(1+Assumptions!$B$39)^(P$4-2027)</f>
        <v>582122.983704208</v>
      </c>
    </row>
    <row r="18" customFormat="false" ht="15" hidden="false" customHeight="true" outlineLevel="0" collapsed="false">
      <c r="A18" s="6" t="s">
        <v>132</v>
      </c>
      <c r="B18" s="3" t="s">
        <v>128</v>
      </c>
      <c r="C18" s="35" t="n">
        <f aca="false">Assumptions!$B$25*(1+Assumptions!$B$39)^(C$4-2027)</f>
        <v>250000</v>
      </c>
      <c r="D18" s="35" t="n">
        <f aca="false">Assumptions!$B$25*(1+Assumptions!$B$39)^(D$4-2027)</f>
        <v>255000</v>
      </c>
      <c r="E18" s="35" t="n">
        <f aca="false">Assumptions!$B$25*(1+Assumptions!$B$39)^(E$4-2027)</f>
        <v>260100</v>
      </c>
      <c r="F18" s="35" t="n">
        <f aca="false">Assumptions!$B$25*(1+Assumptions!$B$39)^(F$4-2027)</f>
        <v>265302</v>
      </c>
      <c r="G18" s="35" t="n">
        <f aca="false">Assumptions!$B$25*(1+Assumptions!$B$39)^(G$4-2027)</f>
        <v>270608.04</v>
      </c>
      <c r="H18" s="35" t="n">
        <f aca="false">Assumptions!$B$25*(1+Assumptions!$B$39)^(H$4-2027)</f>
        <v>276020.2008</v>
      </c>
      <c r="I18" s="35" t="n">
        <f aca="false">Assumptions!$B$25*(1+Assumptions!$B$39)^(I$4-2027)</f>
        <v>281540.604816</v>
      </c>
      <c r="J18" s="35" t="n">
        <f aca="false">Assumptions!$B$25*(1+Assumptions!$B$39)^(J$4-2027)</f>
        <v>287171.41691232</v>
      </c>
      <c r="K18" s="35" t="n">
        <f aca="false">Assumptions!$B$25*(1+Assumptions!$B$39)^(K$4-2027)</f>
        <v>292914.845250566</v>
      </c>
      <c r="L18" s="35" t="n">
        <f aca="false">Assumptions!$B$25*(1+Assumptions!$B$39)^(L$4-2027)</f>
        <v>298773.142155578</v>
      </c>
      <c r="M18" s="34" t="n">
        <f aca="false">Assumptions!$B$25*(1+Assumptions!$B$39)^(M$4-2027)</f>
        <v>304748.604998689</v>
      </c>
      <c r="N18" s="34" t="n">
        <f aca="false">Assumptions!$B$25*(1+Assumptions!$B$39)^(N$4-2027)</f>
        <v>310843.577098663</v>
      </c>
      <c r="O18" s="34" t="n">
        <f aca="false">Assumptions!$B$25*(1+Assumptions!$B$39)^(O$4-2027)</f>
        <v>317060.448640636</v>
      </c>
      <c r="P18" s="34" t="n">
        <f aca="false">Assumptions!$B$25*(1+Assumptions!$B$39)^(P$4-2027)</f>
        <v>323401.657613449</v>
      </c>
    </row>
    <row r="19" customFormat="false" ht="15" hidden="false" customHeight="true" outlineLevel="0" collapsed="false">
      <c r="A19" s="6" t="s">
        <v>133</v>
      </c>
      <c r="B19" s="3" t="s">
        <v>128</v>
      </c>
      <c r="C19" s="35" t="n">
        <f aca="false">Assumptions!$B$26*(1+Assumptions!$B$39)^(C$4-2027)*C10</f>
        <v>396000</v>
      </c>
      <c r="D19" s="35" t="n">
        <f aca="false">Assumptions!$B$26*(1+Assumptions!$B$39)^(D$4-2027)*D10</f>
        <v>415588.8</v>
      </c>
      <c r="E19" s="35" t="n">
        <f aca="false">Assumptions!$B$26*(1+Assumptions!$B$39)^(E$4-2027)*E10</f>
        <v>573228.25164</v>
      </c>
      <c r="F19" s="35" t="n">
        <f aca="false">Assumptions!$B$26*(1+Assumptions!$B$39)^(F$4-2027)*F10</f>
        <v>591186.917762892</v>
      </c>
      <c r="G19" s="35" t="n">
        <f aca="false">Assumptions!$B$26*(1+Assumptions!$B$39)^(G$4-2027)*G10</f>
        <v>609733.998976722</v>
      </c>
      <c r="H19" s="35" t="n">
        <f aca="false">Assumptions!$B$26*(1+Assumptions!$B$39)^(H$4-2027)*H10</f>
        <v>641034.244652936</v>
      </c>
      <c r="I19" s="35" t="n">
        <f aca="false">Assumptions!$B$26*(1+Assumptions!$B$39)^(I$4-2027)*I10</f>
        <v>661061.318300685</v>
      </c>
      <c r="J19" s="35" t="n">
        <f aca="false">Assumptions!$B$26*(1+Assumptions!$B$39)^(J$4-2027)*J10</f>
        <v>681743.318944429</v>
      </c>
      <c r="K19" s="35" t="n">
        <f aca="false">Assumptions!$B$26*(1+Assumptions!$B$39)^(K$4-2027)*K10</f>
        <v>703102.324933052</v>
      </c>
      <c r="L19" s="35" t="n">
        <f aca="false">Assumptions!$B$26*(1+Assumptions!$B$39)^(L$4-2027)*L10</f>
        <v>725161.173169671</v>
      </c>
      <c r="M19" s="34" t="n">
        <f aca="false">Assumptions!$B$26*(1+Assumptions!$B$39)^(M$4-2027)*M10</f>
        <v>747943.485472373</v>
      </c>
      <c r="N19" s="34" t="n">
        <f aca="false">Assumptions!$B$26*(1+Assumptions!$B$39)^(N$4-2027)*N10</f>
        <v>771473.695857156</v>
      </c>
      <c r="O19" s="34" t="n">
        <f aca="false">Assumptions!$B$26*(1+Assumptions!$B$39)^(O$4-2027)*O10</f>
        <v>795777.078775474</v>
      </c>
      <c r="P19" s="34" t="n">
        <f aca="false">Assumptions!$B$26*(1+Assumptions!$B$39)^(P$4-2027)*P10</f>
        <v>820879.7783399</v>
      </c>
    </row>
    <row r="20" customFormat="false" ht="15" hidden="false" customHeight="true" outlineLevel="0" collapsed="false">
      <c r="A20" s="6" t="s">
        <v>134</v>
      </c>
      <c r="B20" s="3" t="s">
        <v>128</v>
      </c>
      <c r="C20" s="35" t="n">
        <f aca="false">Assumptions!$B$27*(1+Assumptions!$B$39)^(C$4-2027)</f>
        <v>700000</v>
      </c>
      <c r="D20" s="35" t="n">
        <f aca="false">Assumptions!$B$27*(1+Assumptions!$B$39)^(D$4-2027)</f>
        <v>714000</v>
      </c>
      <c r="E20" s="35" t="n">
        <f aca="false">Assumptions!$B$27*(1+Assumptions!$B$39)^(E$4-2027)</f>
        <v>728280</v>
      </c>
      <c r="F20" s="35" t="n">
        <f aca="false">Assumptions!$B$27*(1+Assumptions!$B$39)^(F$4-2027)</f>
        <v>742845.6</v>
      </c>
      <c r="G20" s="35" t="n">
        <f aca="false">Assumptions!$B$27*(1+Assumptions!$B$39)^(G$4-2027)</f>
        <v>757702.512</v>
      </c>
      <c r="H20" s="35" t="n">
        <f aca="false">Assumptions!$B$27*(1+Assumptions!$B$39)^(H$4-2027)</f>
        <v>772856.56224</v>
      </c>
      <c r="I20" s="35" t="n">
        <f aca="false">Assumptions!$B$27*(1+Assumptions!$B$39)^(I$4-2027)</f>
        <v>788313.6934848</v>
      </c>
      <c r="J20" s="35" t="n">
        <f aca="false">Assumptions!$B$27*(1+Assumptions!$B$39)^(J$4-2027)</f>
        <v>804079.967354496</v>
      </c>
      <c r="K20" s="35" t="n">
        <f aca="false">Assumptions!$B$27*(1+Assumptions!$B$39)^(K$4-2027)</f>
        <v>820161.566701586</v>
      </c>
      <c r="L20" s="35" t="n">
        <f aca="false">Assumptions!$B$27*(1+Assumptions!$B$39)^(L$4-2027)</f>
        <v>836564.798035618</v>
      </c>
      <c r="M20" s="34" t="n">
        <f aca="false">Assumptions!$B$27*(1+Assumptions!$B$39)^(M$4-2027)</f>
        <v>853296.09399633</v>
      </c>
      <c r="N20" s="34" t="n">
        <f aca="false">Assumptions!$B$27*(1+Assumptions!$B$39)^(N$4-2027)</f>
        <v>870362.015876257</v>
      </c>
      <c r="O20" s="34" t="n">
        <f aca="false">Assumptions!$B$27*(1+Assumptions!$B$39)^(O$4-2027)</f>
        <v>887769.256193782</v>
      </c>
      <c r="P20" s="34" t="n">
        <f aca="false">Assumptions!$B$27*(1+Assumptions!$B$39)^(P$4-2027)</f>
        <v>905524.641317658</v>
      </c>
    </row>
    <row r="21" customFormat="false" ht="15" hidden="false" customHeight="true" outlineLevel="0" collapsed="false">
      <c r="A21" s="6" t="s">
        <v>135</v>
      </c>
      <c r="B21" s="3" t="s">
        <v>128</v>
      </c>
      <c r="C21" s="35" t="n">
        <f aca="false">Assumptions!$B$28*Assumptions!$B$29*(1+Assumptions!$B$39)^(C$4-2027)</f>
        <v>750000</v>
      </c>
      <c r="D21" s="35" t="n">
        <f aca="false">Assumptions!$B$28*Assumptions!$B$29*(1+Assumptions!$B$39)^(D$4-2027)</f>
        <v>765000</v>
      </c>
      <c r="E21" s="35" t="n">
        <f aca="false">Assumptions!$B$28*Assumptions!$B$29*(1+Assumptions!$B$39)^(E$4-2027)</f>
        <v>780300</v>
      </c>
      <c r="F21" s="35" t="n">
        <f aca="false">Assumptions!$B$28*Assumptions!$B$29*(1+Assumptions!$B$39)^(F$4-2027)</f>
        <v>795906</v>
      </c>
      <c r="G21" s="35" t="n">
        <f aca="false">Assumptions!$B$28*Assumptions!$B$29*(1+Assumptions!$B$39)^(G$4-2027)</f>
        <v>811824.12</v>
      </c>
      <c r="H21" s="35" t="n">
        <f aca="false">Assumptions!$B$28*Assumptions!$B$29*(1+Assumptions!$B$39)^(H$4-2027)</f>
        <v>828060.6024</v>
      </c>
      <c r="I21" s="35" t="n">
        <f aca="false">Assumptions!$B$28*Assumptions!$B$29*(1+Assumptions!$B$39)^(I$4-2027)</f>
        <v>844621.814448</v>
      </c>
      <c r="J21" s="35" t="n">
        <f aca="false">Assumptions!$B$28*Assumptions!$B$29*(1+Assumptions!$B$39)^(J$4-2027)</f>
        <v>861514.25073696</v>
      </c>
      <c r="K21" s="35" t="n">
        <f aca="false">Assumptions!$B$28*Assumptions!$B$29*(1+Assumptions!$B$39)^(K$4-2027)</f>
        <v>878744.535751699</v>
      </c>
      <c r="L21" s="35" t="n">
        <f aca="false">Assumptions!$B$28*Assumptions!$B$29*(1+Assumptions!$B$39)^(L$4-2027)</f>
        <v>896319.426466733</v>
      </c>
      <c r="M21" s="34" t="n">
        <f aca="false">Assumptions!$B$28*Assumptions!$B$29*(1+Assumptions!$B$39)^(M$4-2027)</f>
        <v>914245.814996068</v>
      </c>
      <c r="N21" s="34" t="n">
        <f aca="false">Assumptions!$B$28*Assumptions!$B$29*(1+Assumptions!$B$39)^(N$4-2027)</f>
        <v>932530.731295989</v>
      </c>
      <c r="O21" s="34" t="n">
        <f aca="false">Assumptions!$B$28*Assumptions!$B$29*(1+Assumptions!$B$39)^(O$4-2027)</f>
        <v>951181.345921909</v>
      </c>
      <c r="P21" s="34" t="n">
        <f aca="false">Assumptions!$B$28*Assumptions!$B$29*(1+Assumptions!$B$39)^(P$4-2027)</f>
        <v>970204.972840347</v>
      </c>
    </row>
    <row r="22" customFormat="false" ht="15" hidden="false" customHeight="true" outlineLevel="0" collapsed="false">
      <c r="A22" s="6" t="s">
        <v>136</v>
      </c>
      <c r="B22" s="3" t="s">
        <v>128</v>
      </c>
      <c r="C22" s="35" t="n">
        <f aca="false">Assumptions!$B$70*Assumptions!$B$34*(1+Assumptions!$B$39)^(C$4-2027)</f>
        <v>2150000</v>
      </c>
      <c r="D22" s="35" t="n">
        <f aca="false">Assumptions!$B$70*Assumptions!$B$34*(1+Assumptions!$B$39)^(D$4-2027)</f>
        <v>2193000</v>
      </c>
      <c r="E22" s="35" t="n">
        <f aca="false">Assumptions!$B$70*Assumptions!$B$34*(1+Assumptions!$B$39)^(E$4-2027)</f>
        <v>2236860</v>
      </c>
      <c r="F22" s="35" t="n">
        <f aca="false">Assumptions!$B$70*Assumptions!$B$34*(1+Assumptions!$B$39)^(F$4-2027)</f>
        <v>2281597.2</v>
      </c>
      <c r="G22" s="35" t="n">
        <f aca="false">Assumptions!$B$70*Assumptions!$B$34*(1+Assumptions!$B$39)^(G$4-2027)</f>
        <v>2327229.144</v>
      </c>
      <c r="H22" s="35" t="n">
        <f aca="false">Assumptions!$B$70*Assumptions!$B$34*(1+Assumptions!$B$39)^(H$4-2027)</f>
        <v>2373773.72688</v>
      </c>
      <c r="I22" s="35" t="n">
        <f aca="false">Assumptions!$B$70*Assumptions!$B$34*(1+Assumptions!$B$39)^(I$4-2027)</f>
        <v>2421249.2014176</v>
      </c>
      <c r="J22" s="35" t="n">
        <f aca="false">Assumptions!$B$70*Assumptions!$B$34*(1+Assumptions!$B$39)^(J$4-2027)</f>
        <v>2469674.18544595</v>
      </c>
      <c r="K22" s="35" t="n">
        <f aca="false">Assumptions!$B$70*Assumptions!$B$34*(1+Assumptions!$B$39)^(K$4-2027)</f>
        <v>2519067.66915487</v>
      </c>
      <c r="L22" s="35" t="n">
        <f aca="false">Assumptions!$B$70*Assumptions!$B$34*(1+Assumptions!$B$39)^(L$4-2027)</f>
        <v>2569449.02253797</v>
      </c>
      <c r="M22" s="34" t="n">
        <f aca="false">Assumptions!$B$70*Assumptions!$B$34*(1+Assumptions!$B$39)^(M$4-2027)</f>
        <v>2620838.00298873</v>
      </c>
      <c r="N22" s="34" t="n">
        <f aca="false">Assumptions!$B$70*Assumptions!$B$34*(1+Assumptions!$B$39)^(N$4-2027)</f>
        <v>2673254.7630485</v>
      </c>
      <c r="O22" s="34" t="n">
        <f aca="false">Assumptions!$B$70*Assumptions!$B$34*(1+Assumptions!$B$39)^(O$4-2027)</f>
        <v>2726719.85830947</v>
      </c>
      <c r="P22" s="34" t="n">
        <f aca="false">Assumptions!$B$70*Assumptions!$B$34*(1+Assumptions!$B$39)^(P$4-2027)</f>
        <v>2781254.25547566</v>
      </c>
    </row>
    <row r="23" customFormat="false" ht="15" hidden="false" customHeight="true" outlineLevel="0" collapsed="false">
      <c r="A23" s="6" t="s">
        <v>137</v>
      </c>
      <c r="B23" s="3" t="s">
        <v>128</v>
      </c>
      <c r="C23" s="35" t="n">
        <f aca="false">Assumptions!$B$35*Assumptions!$B$36*(1+Assumptions!$B$39)^(C$4-2027)</f>
        <v>500000</v>
      </c>
      <c r="D23" s="35" t="n">
        <f aca="false">Assumptions!$B$35*Assumptions!$B$36*(1+Assumptions!$B$39)^(D$4-2027)</f>
        <v>510000</v>
      </c>
      <c r="E23" s="35" t="n">
        <f aca="false">Assumptions!$B$35*Assumptions!$B$36*(1+Assumptions!$B$39)^(E$4-2027)</f>
        <v>520200</v>
      </c>
      <c r="F23" s="35" t="n">
        <f aca="false">Assumptions!$B$35*Assumptions!$B$36*(1+Assumptions!$B$39)^(F$4-2027)</f>
        <v>530604</v>
      </c>
      <c r="G23" s="35" t="n">
        <f aca="false">Assumptions!$B$35*Assumptions!$B$36*(1+Assumptions!$B$39)^(G$4-2027)</f>
        <v>541216.08</v>
      </c>
      <c r="H23" s="35" t="n">
        <f aca="false">Assumptions!$B$35*Assumptions!$B$36*(1+Assumptions!$B$39)^(H$4-2027)</f>
        <v>552040.4016</v>
      </c>
      <c r="I23" s="35" t="n">
        <f aca="false">Assumptions!$B$35*Assumptions!$B$36*(1+Assumptions!$B$39)^(I$4-2027)</f>
        <v>563081.209632</v>
      </c>
      <c r="J23" s="35" t="n">
        <f aca="false">Assumptions!$B$35*Assumptions!$B$36*(1+Assumptions!$B$39)^(J$4-2027)</f>
        <v>574342.83382464</v>
      </c>
      <c r="K23" s="35" t="n">
        <f aca="false">Assumptions!$B$35*Assumptions!$B$36*(1+Assumptions!$B$39)^(K$4-2027)</f>
        <v>585829.690501133</v>
      </c>
      <c r="L23" s="35" t="n">
        <f aca="false">Assumptions!$B$35*Assumptions!$B$36*(1+Assumptions!$B$39)^(L$4-2027)</f>
        <v>597546.284311156</v>
      </c>
      <c r="M23" s="34" t="n">
        <f aca="false">Assumptions!$B$35*Assumptions!$B$36*(1+Assumptions!$B$39)^(M$4-2027)</f>
        <v>609497.209997379</v>
      </c>
      <c r="N23" s="34" t="n">
        <f aca="false">Assumptions!$B$35*Assumptions!$B$36*(1+Assumptions!$B$39)^(N$4-2027)</f>
        <v>621687.154197326</v>
      </c>
      <c r="O23" s="34" t="n">
        <f aca="false">Assumptions!$B$35*Assumptions!$B$36*(1+Assumptions!$B$39)^(O$4-2027)</f>
        <v>634120.897281273</v>
      </c>
      <c r="P23" s="34" t="n">
        <f aca="false">Assumptions!$B$35*Assumptions!$B$36*(1+Assumptions!$B$39)^(P$4-2027)</f>
        <v>646803.315226898</v>
      </c>
    </row>
    <row r="24" customFormat="false" ht="15" hidden="false" customHeight="true" outlineLevel="0" collapsed="false">
      <c r="A24" s="6" t="s">
        <v>138</v>
      </c>
      <c r="B24" s="3" t="s">
        <v>128</v>
      </c>
      <c r="C24" s="35" t="n">
        <f aca="false">Assumptions!$B$69*Assumptions!$B$38*(1+Assumptions!$B$39)^(C$4-2027)</f>
        <v>600000</v>
      </c>
      <c r="D24" s="35" t="n">
        <f aca="false">Assumptions!$B$69*Assumptions!$B$38*(1+Assumptions!$B$39)^(D$4-2027)</f>
        <v>612000</v>
      </c>
      <c r="E24" s="35" t="n">
        <f aca="false">Assumptions!$B$69*Assumptions!$B$38*(1+Assumptions!$B$39)^(E$4-2027)</f>
        <v>624240</v>
      </c>
      <c r="F24" s="35" t="n">
        <f aca="false">Assumptions!$B$69*Assumptions!$B$38*(1+Assumptions!$B$39)^(F$4-2027)</f>
        <v>636724.8</v>
      </c>
      <c r="G24" s="35" t="n">
        <f aca="false">Assumptions!$B$69*Assumptions!$B$38*(1+Assumptions!$B$39)^(G$4-2027)</f>
        <v>649459.296</v>
      </c>
      <c r="H24" s="35" t="n">
        <f aca="false">Assumptions!$B$69*Assumptions!$B$38*(1+Assumptions!$B$39)^(H$4-2027)</f>
        <v>662448.48192</v>
      </c>
      <c r="I24" s="35" t="n">
        <f aca="false">Assumptions!$B$69*Assumptions!$B$38*(1+Assumptions!$B$39)^(I$4-2027)</f>
        <v>675697.4515584</v>
      </c>
      <c r="J24" s="35" t="n">
        <f aca="false">Assumptions!$B$69*Assumptions!$B$38*(1+Assumptions!$B$39)^(J$4-2027)</f>
        <v>689211.400589568</v>
      </c>
      <c r="K24" s="35" t="n">
        <f aca="false">Assumptions!$B$69*Assumptions!$B$38*(1+Assumptions!$B$39)^(K$4-2027)</f>
        <v>702995.628601359</v>
      </c>
      <c r="L24" s="35" t="n">
        <f aca="false">Assumptions!$B$69*Assumptions!$B$38*(1+Assumptions!$B$39)^(L$4-2027)</f>
        <v>717055.541173387</v>
      </c>
      <c r="M24" s="34" t="n">
        <f aca="false">Assumptions!$B$69*Assumptions!$B$38*(1+Assumptions!$B$39)^(M$4-2027)</f>
        <v>731396.651996854</v>
      </c>
      <c r="N24" s="34" t="n">
        <f aca="false">Assumptions!$B$69*Assumptions!$B$38*(1+Assumptions!$B$39)^(N$4-2027)</f>
        <v>746024.585036792</v>
      </c>
      <c r="O24" s="34" t="n">
        <f aca="false">Assumptions!$B$69*Assumptions!$B$38*(1+Assumptions!$B$39)^(O$4-2027)</f>
        <v>760945.076737527</v>
      </c>
      <c r="P24" s="34" t="n">
        <f aca="false">Assumptions!$B$69*Assumptions!$B$38*(1+Assumptions!$B$39)^(P$4-2027)</f>
        <v>776163.978272278</v>
      </c>
    </row>
    <row r="25" customFormat="false" ht="15" hidden="false" customHeight="true" outlineLevel="0" collapsed="false">
      <c r="A25" s="23" t="s">
        <v>139</v>
      </c>
      <c r="B25" s="3" t="s">
        <v>128</v>
      </c>
      <c r="C25" s="33" t="n">
        <f aca="false">SUM(C16:C24)</f>
        <v>6796000</v>
      </c>
      <c r="D25" s="33" t="n">
        <f aca="false">SUM(D16:D24)</f>
        <v>6943588.8</v>
      </c>
      <c r="E25" s="33" t="n">
        <f aca="false">SUM(E16:E24)</f>
        <v>7231788.25164</v>
      </c>
      <c r="F25" s="33" t="n">
        <f aca="false">SUM(F16:F24)</f>
        <v>7382918.11776289</v>
      </c>
      <c r="G25" s="33" t="n">
        <f aca="false">SUM(G16:G24)</f>
        <v>7537299.82297672</v>
      </c>
      <c r="H25" s="33" t="n">
        <f aca="false">SUM(H16:H24)</f>
        <v>7707151.38513294</v>
      </c>
      <c r="I25" s="33" t="n">
        <f aca="false">SUM(I16:I24)</f>
        <v>7868500.80159029</v>
      </c>
      <c r="J25" s="33" t="n">
        <f aca="false">SUM(J16:J24)</f>
        <v>8033331.59189982</v>
      </c>
      <c r="K25" s="33" t="n">
        <f aca="false">SUM(K16:K24)</f>
        <v>8201722.36334755</v>
      </c>
      <c r="L25" s="33" t="n">
        <f aca="false">SUM(L16:L24)</f>
        <v>8373753.61235246</v>
      </c>
      <c r="M25" s="34" t="n">
        <f aca="false">SUM(M16:M24)</f>
        <v>8549507.77343882</v>
      </c>
      <c r="N25" s="34" t="n">
        <f aca="false">SUM(N16:N24)</f>
        <v>8729069.26958293</v>
      </c>
      <c r="O25" s="34" t="n">
        <f aca="false">SUM(O16:O24)</f>
        <v>8912524.56397576</v>
      </c>
      <c r="P25" s="34" t="n">
        <f aca="false">SUM(P16:P24)</f>
        <v>9099962.2132442</v>
      </c>
    </row>
    <row r="26" customFormat="false" ht="15.75" hidden="false" customHeight="true" outlineLevel="0" collapsed="false"/>
    <row r="27" customFormat="false" ht="15" hidden="false" customHeight="true" outlineLevel="0" collapsed="false">
      <c r="A27" s="4" t="s">
        <v>140</v>
      </c>
      <c r="B27" s="4"/>
      <c r="C27" s="4"/>
      <c r="D27" s="4"/>
      <c r="E27" s="4"/>
      <c r="F27" s="4"/>
      <c r="G27" s="4"/>
      <c r="H27" s="4"/>
      <c r="I27" s="4"/>
      <c r="J27" s="4"/>
      <c r="K27" s="4"/>
      <c r="L27" s="4"/>
    </row>
    <row r="28" customFormat="false" ht="15" hidden="false" customHeight="true" outlineLevel="0" collapsed="false">
      <c r="A28" s="6" t="s">
        <v>141</v>
      </c>
      <c r="B28" s="3" t="s">
        <v>128</v>
      </c>
      <c r="C28" s="35" t="n">
        <f aca="false">IF(C$4&gt;=Assumptions!$B$48,Assumptions!$B$42*Assumptions!$B$47,0)</f>
        <v>0</v>
      </c>
      <c r="D28" s="35" t="n">
        <f aca="false">IF(D$4&gt;=Assumptions!$B$48,Assumptions!$B$42*Assumptions!$B$47,0)</f>
        <v>0</v>
      </c>
      <c r="E28" s="35" t="n">
        <f aca="false">IF(E$4&gt;=Assumptions!$B$48,Assumptions!$B$42*Assumptions!$B$47,0)</f>
        <v>6521177.59315073</v>
      </c>
      <c r="F28" s="35" t="n">
        <f aca="false">IF(F$4&gt;=Assumptions!$B$48,Assumptions!$B$42*Assumptions!$B$47,0)</f>
        <v>6521177.59315073</v>
      </c>
      <c r="G28" s="35" t="n">
        <f aca="false">IF(G$4&gt;=Assumptions!$B$48,Assumptions!$B$42*Assumptions!$B$47,0)</f>
        <v>6521177.59315073</v>
      </c>
      <c r="H28" s="35" t="n">
        <f aca="false">IF(H$4&gt;=Assumptions!$B$48,Assumptions!$B$42*Assumptions!$B$47,0)</f>
        <v>6521177.59315073</v>
      </c>
      <c r="I28" s="35" t="n">
        <f aca="false">IF(I$4&gt;=Assumptions!$B$48,Assumptions!$B$42*Assumptions!$B$47,0)</f>
        <v>6521177.59315073</v>
      </c>
      <c r="J28" s="35" t="n">
        <f aca="false">IF(J$4&gt;=Assumptions!$B$48,Assumptions!$B$42*Assumptions!$B$47,0)</f>
        <v>6521177.59315073</v>
      </c>
      <c r="K28" s="35" t="n">
        <f aca="false">IF(K$4&gt;=Assumptions!$B$48,Assumptions!$B$42*Assumptions!$B$47,0)</f>
        <v>6521177.59315073</v>
      </c>
      <c r="L28" s="35" t="n">
        <f aca="false">IF(L$4&gt;=Assumptions!$B$48,Assumptions!$B$42*Assumptions!$B$47,0)</f>
        <v>6521177.59315073</v>
      </c>
      <c r="M28" s="34" t="n">
        <f aca="false">IF(M$4&gt;=Assumptions!$B$48,Assumptions!$B$42*Assumptions!$B$47,0)</f>
        <v>6521177.59315073</v>
      </c>
      <c r="N28" s="34" t="n">
        <f aca="false">IF(N$4&gt;=Assumptions!$B$48,Assumptions!$B$42*Assumptions!$B$47,0)</f>
        <v>6521177.59315073</v>
      </c>
      <c r="O28" s="34" t="n">
        <f aca="false">IF(O$4&gt;=Assumptions!$B$48,Assumptions!$B$42*Assumptions!$B$47,0)</f>
        <v>6521177.59315073</v>
      </c>
      <c r="P28" s="34" t="n">
        <f aca="false">IF(P$4&gt;=Assumptions!$B$48,Assumptions!$B$42*Assumptions!$B$47,0)</f>
        <v>6521177.59315073</v>
      </c>
    </row>
    <row r="29" customFormat="false" ht="15" hidden="false" customHeight="true" outlineLevel="0" collapsed="false">
      <c r="A29" s="6" t="s">
        <v>142</v>
      </c>
      <c r="B29" s="3" t="s">
        <v>128</v>
      </c>
      <c r="C29" s="35" t="n">
        <f aca="false">IF(C$4&gt;=Assumptions!$B$44,Assumptions!$B$43*Assumptions!$B$47,0)</f>
        <v>0</v>
      </c>
      <c r="D29" s="35" t="n">
        <f aca="false">IF(D$4&gt;=Assumptions!$B$44,Assumptions!$B$43*Assumptions!$B$47,0)</f>
        <v>543431.466095894</v>
      </c>
      <c r="E29" s="35" t="n">
        <f aca="false">IF(E$4&gt;=Assumptions!$B$44,Assumptions!$B$43*Assumptions!$B$47,0)</f>
        <v>543431.466095894</v>
      </c>
      <c r="F29" s="35" t="n">
        <f aca="false">IF(F$4&gt;=Assumptions!$B$44,Assumptions!$B$43*Assumptions!$B$47,0)</f>
        <v>543431.466095894</v>
      </c>
      <c r="G29" s="35" t="n">
        <f aca="false">IF(G$4&gt;=Assumptions!$B$44,Assumptions!$B$43*Assumptions!$B$47,0)</f>
        <v>543431.466095894</v>
      </c>
      <c r="H29" s="35" t="n">
        <f aca="false">IF(H$4&gt;=Assumptions!$B$44,Assumptions!$B$43*Assumptions!$B$47,0)</f>
        <v>543431.466095894</v>
      </c>
      <c r="I29" s="35" t="n">
        <f aca="false">IF(I$4&gt;=Assumptions!$B$44,Assumptions!$B$43*Assumptions!$B$47,0)</f>
        <v>543431.466095894</v>
      </c>
      <c r="J29" s="35" t="n">
        <f aca="false">IF(J$4&gt;=Assumptions!$B$44,Assumptions!$B$43*Assumptions!$B$47,0)</f>
        <v>543431.466095894</v>
      </c>
      <c r="K29" s="35" t="n">
        <f aca="false">IF(K$4&gt;=Assumptions!$B$44,Assumptions!$B$43*Assumptions!$B$47,0)</f>
        <v>543431.466095894</v>
      </c>
      <c r="L29" s="35" t="n">
        <f aca="false">IF(L$4&gt;=Assumptions!$B$44,Assumptions!$B$43*Assumptions!$B$47,0)</f>
        <v>543431.466095894</v>
      </c>
      <c r="M29" s="34" t="n">
        <f aca="false">IF(M$4&gt;=Assumptions!$B$44,Assumptions!$B$43*Assumptions!$B$47,0)</f>
        <v>543431.466095894</v>
      </c>
      <c r="N29" s="34" t="n">
        <f aca="false">IF(N$4&gt;=Assumptions!$B$44,Assumptions!$B$43*Assumptions!$B$47,0)</f>
        <v>543431.466095894</v>
      </c>
      <c r="O29" s="34" t="n">
        <f aca="false">IF(O$4&gt;=Assumptions!$B$44,Assumptions!$B$43*Assumptions!$B$47,0)</f>
        <v>543431.466095894</v>
      </c>
      <c r="P29" s="34" t="n">
        <f aca="false">IF(P$4&gt;=Assumptions!$B$44,Assumptions!$B$43*Assumptions!$B$47,0)</f>
        <v>543431.466095894</v>
      </c>
    </row>
    <row r="30" customFormat="false" ht="15" hidden="false" customHeight="true" outlineLevel="0" collapsed="false">
      <c r="A30" s="23" t="s">
        <v>143</v>
      </c>
      <c r="B30" s="3" t="s">
        <v>128</v>
      </c>
      <c r="C30" s="33" t="n">
        <f aca="false">C28+C29</f>
        <v>0</v>
      </c>
      <c r="D30" s="33" t="n">
        <f aca="false">D28+D29</f>
        <v>543431.466095894</v>
      </c>
      <c r="E30" s="33" t="n">
        <f aca="false">E28+E29</f>
        <v>7064609.05924662</v>
      </c>
      <c r="F30" s="33" t="n">
        <f aca="false">F28+F29</f>
        <v>7064609.05924662</v>
      </c>
      <c r="G30" s="33" t="n">
        <f aca="false">G28+G29</f>
        <v>7064609.05924662</v>
      </c>
      <c r="H30" s="33" t="n">
        <f aca="false">H28+H29</f>
        <v>7064609.05924662</v>
      </c>
      <c r="I30" s="33" t="n">
        <f aca="false">I28+I29</f>
        <v>7064609.05924662</v>
      </c>
      <c r="J30" s="33" t="n">
        <f aca="false">J28+J29</f>
        <v>7064609.05924662</v>
      </c>
      <c r="K30" s="33" t="n">
        <f aca="false">K28+K29</f>
        <v>7064609.05924662</v>
      </c>
      <c r="L30" s="33" t="n">
        <f aca="false">L28+L29</f>
        <v>7064609.05924662</v>
      </c>
      <c r="M30" s="34" t="n">
        <f aca="false">M28+M29</f>
        <v>7064609.05924662</v>
      </c>
      <c r="N30" s="34" t="n">
        <f aca="false">N28+N29</f>
        <v>7064609.05924662</v>
      </c>
      <c r="O30" s="34" t="n">
        <f aca="false">O28+O29</f>
        <v>7064609.05924662</v>
      </c>
      <c r="P30" s="34" t="n">
        <f aca="false">P28+P29</f>
        <v>7064609.05924662</v>
      </c>
    </row>
    <row r="31" customFormat="false" ht="15.75" hidden="false" customHeight="true" outlineLevel="0" collapsed="false"/>
    <row r="32" customFormat="false" ht="15" hidden="false" customHeight="true" outlineLevel="0" collapsed="false">
      <c r="A32" s="4" t="s">
        <v>144</v>
      </c>
      <c r="B32" s="4"/>
      <c r="C32" s="4"/>
      <c r="D32" s="4"/>
      <c r="E32" s="4"/>
      <c r="F32" s="4"/>
      <c r="G32" s="4"/>
      <c r="H32" s="4"/>
      <c r="I32" s="4"/>
      <c r="J32" s="4"/>
      <c r="K32" s="4"/>
      <c r="L32" s="4"/>
    </row>
    <row r="33" customFormat="false" ht="15" hidden="false" customHeight="true" outlineLevel="0" collapsed="false">
      <c r="A33" s="6" t="s">
        <v>145</v>
      </c>
      <c r="B33" s="3" t="s">
        <v>128</v>
      </c>
      <c r="C33" s="19" t="n">
        <f aca="false">C13-C25</f>
        <v>7244000</v>
      </c>
      <c r="D33" s="19" t="n">
        <f aca="false">D13-D25</f>
        <v>8224291.2</v>
      </c>
      <c r="E33" s="19" t="n">
        <f aca="false">E13-E25</f>
        <v>14304842.54586</v>
      </c>
      <c r="F33" s="19" t="n">
        <f aca="false">F13-F25</f>
        <v>15481708.7734227</v>
      </c>
      <c r="G33" s="19" t="n">
        <f aca="false">G13-G25</f>
        <v>16044650.2685928</v>
      </c>
      <c r="H33" s="19" t="n">
        <f aca="false">H13-H25</f>
        <v>17085360.7427164</v>
      </c>
      <c r="I33" s="19" t="n">
        <f aca="false">I13-I25</f>
        <v>17698574.4177613</v>
      </c>
      <c r="J33" s="19" t="n">
        <f aca="false">J13-J25</f>
        <v>18333636.5443517</v>
      </c>
      <c r="K33" s="19" t="n">
        <f aca="false">K13-K25</f>
        <v>18991322.4130037</v>
      </c>
      <c r="L33" s="19" t="n">
        <f aca="false">L13-L25</f>
        <v>19672434.7627918</v>
      </c>
      <c r="M33" s="34" t="n">
        <f aca="false">M13-M25</f>
        <v>20377804.7518996</v>
      </c>
      <c r="N33" s="34" t="n">
        <f aca="false">N13-N25</f>
        <v>21108292.9624626</v>
      </c>
      <c r="O33" s="34" t="n">
        <f aca="false">O13-O25</f>
        <v>21864790.4409148</v>
      </c>
      <c r="P33" s="34" t="n">
        <f aca="false">P13-P25</f>
        <v>22648219.7750939</v>
      </c>
    </row>
    <row r="34" customFormat="false" ht="15" hidden="false" customHeight="true" outlineLevel="0" collapsed="false">
      <c r="A34" s="36" t="s">
        <v>146</v>
      </c>
      <c r="B34" s="37" t="s">
        <v>128</v>
      </c>
      <c r="C34" s="38" t="n">
        <f aca="false">C13-C25-C30</f>
        <v>7244000</v>
      </c>
      <c r="D34" s="38" t="n">
        <f aca="false">D13-D25-D30</f>
        <v>7680859.7339041</v>
      </c>
      <c r="E34" s="38" t="n">
        <f aca="false">E13-E25-E30</f>
        <v>7240233.48661338</v>
      </c>
      <c r="F34" s="38" t="n">
        <f aca="false">F13-F25-F30</f>
        <v>8417099.71417611</v>
      </c>
      <c r="G34" s="38" t="n">
        <f aca="false">G13-G25-G30</f>
        <v>8980041.20934613</v>
      </c>
      <c r="H34" s="38" t="n">
        <f aca="false">H13-H25-H30</f>
        <v>10020751.6834698</v>
      </c>
      <c r="I34" s="38" t="n">
        <f aca="false">I13-I25-I30</f>
        <v>10633965.3585147</v>
      </c>
      <c r="J34" s="38" t="n">
        <f aca="false">J13-J25-J30</f>
        <v>11269027.4851051</v>
      </c>
      <c r="K34" s="38" t="n">
        <f aca="false">K13-K25-K30</f>
        <v>11926713.3537571</v>
      </c>
      <c r="L34" s="38" t="n">
        <f aca="false">L13-L25-L30</f>
        <v>12607825.7035452</v>
      </c>
      <c r="M34" s="34" t="n">
        <f aca="false">M13-M25-M30</f>
        <v>13313195.692653</v>
      </c>
      <c r="N34" s="34" t="n">
        <f aca="false">N13-N25-N30</f>
        <v>14043683.9032159</v>
      </c>
      <c r="O34" s="34" t="n">
        <f aca="false">O13-O25-O30</f>
        <v>14800181.3816682</v>
      </c>
      <c r="P34" s="34" t="n">
        <f aca="false">P13-P25-P30</f>
        <v>15583610.7158473</v>
      </c>
    </row>
    <row r="35" customFormat="false" ht="15" hidden="false" customHeight="true" outlineLevel="0" collapsed="false">
      <c r="A35" s="6" t="s">
        <v>147</v>
      </c>
      <c r="B35" s="3" t="s">
        <v>128</v>
      </c>
      <c r="C35" s="19" t="n">
        <f aca="false">C34</f>
        <v>7244000</v>
      </c>
      <c r="D35" s="19" t="n">
        <f aca="false">C35+D34</f>
        <v>14924859.7339041</v>
      </c>
      <c r="E35" s="19" t="n">
        <f aca="false">D35+E34</f>
        <v>22165093.2205175</v>
      </c>
      <c r="F35" s="19" t="n">
        <f aca="false">E35+F34</f>
        <v>30582192.9346936</v>
      </c>
      <c r="G35" s="19" t="n">
        <f aca="false">F35+G34</f>
        <v>39562234.1440397</v>
      </c>
      <c r="H35" s="19" t="n">
        <f aca="false">G35+H34</f>
        <v>49582985.8275096</v>
      </c>
      <c r="I35" s="19" t="n">
        <f aca="false">H35+I34</f>
        <v>60216951.1860242</v>
      </c>
      <c r="J35" s="19" t="n">
        <f aca="false">I35+J34</f>
        <v>71485978.6711293</v>
      </c>
      <c r="K35" s="19" t="n">
        <f aca="false">J35+K34</f>
        <v>83412692.0248864</v>
      </c>
      <c r="L35" s="19" t="n">
        <f aca="false">K35+L34</f>
        <v>96020517.7284316</v>
      </c>
      <c r="M35" s="34" t="n">
        <f aca="false">L35+M34</f>
        <v>109333713.421085</v>
      </c>
      <c r="N35" s="34" t="n">
        <f aca="false">M35+N34</f>
        <v>123377397.3243</v>
      </c>
      <c r="O35" s="34" t="n">
        <f aca="false">N35+O34</f>
        <v>138177578.705969</v>
      </c>
      <c r="P35" s="34" t="n">
        <f aca="false">O35+P34</f>
        <v>153761189.421816</v>
      </c>
    </row>
    <row r="36" customFormat="false" ht="15" hidden="false" customHeight="true" outlineLevel="0" collapsed="false">
      <c r="A36" s="36" t="s">
        <v>148</v>
      </c>
      <c r="B36" s="37" t="s">
        <v>124</v>
      </c>
      <c r="C36" s="39" t="n">
        <f aca="false">(C25+C30)/C10</f>
        <v>0.943888888888889</v>
      </c>
      <c r="D36" s="39" t="n">
        <f aca="false">(D25+D30)/D10</f>
        <v>1.01066688257234</v>
      </c>
      <c r="E36" s="39" t="n">
        <f aca="false">(E25+E30)/E10</f>
        <v>1.42712513659798</v>
      </c>
      <c r="F36" s="39" t="n">
        <f aca="false">(F25+F30)/F10</f>
        <v>1.42636905991803</v>
      </c>
      <c r="G36" s="39" t="n">
        <f aca="false">(G25+G30)/G10</f>
        <v>1.42571460487992</v>
      </c>
      <c r="H36" s="39" t="n">
        <f aca="false">(H25+H30)/H10</f>
        <v>1.39931204918954</v>
      </c>
      <c r="I36" s="39" t="n">
        <f aca="false">(I25+I30)/I10</f>
        <v>1.39917563837871</v>
      </c>
      <c r="J36" s="39" t="n">
        <f aca="false">(J25+J30)/J10</f>
        <v>1.3991385254958</v>
      </c>
      <c r="K36" s="39" t="n">
        <f aca="false">(K25+K30)/K10</f>
        <v>1.39920135160432</v>
      </c>
      <c r="L36" s="39" t="n">
        <f aca="false">(L25+L30)/L10</f>
        <v>1.39936475513892</v>
      </c>
      <c r="M36" s="30" t="n">
        <f aca="false">(M25+M30)/M10</f>
        <v>1.39962937227709</v>
      </c>
      <c r="N36" s="30" t="n">
        <f aca="false">(N25+N30)/N10</f>
        <v>1.39999583731934</v>
      </c>
      <c r="O36" s="30" t="n">
        <f aca="false">(O25+O30)/O10</f>
        <v>1.40046478307765</v>
      </c>
      <c r="P36" s="30" t="n">
        <f aca="false">(P25+P30)/P10</f>
        <v>1.40103684127218</v>
      </c>
    </row>
    <row r="37" customFormat="false" ht="15.75" hidden="false" customHeight="true" outlineLevel="0" collapsed="false"/>
    <row r="38" customFormat="false" ht="15" hidden="false" customHeight="true" outlineLevel="0" collapsed="false">
      <c r="A38" s="40" t="s">
        <v>149</v>
      </c>
      <c r="B38" s="41"/>
      <c r="C38" s="41"/>
      <c r="D38" s="41"/>
      <c r="E38" s="41"/>
      <c r="F38" s="41"/>
      <c r="G38" s="41"/>
      <c r="H38" s="41"/>
      <c r="I38" s="41"/>
      <c r="J38" s="41"/>
      <c r="K38" s="41"/>
      <c r="L38" s="41"/>
    </row>
    <row r="39" customFormat="false" ht="15" hidden="false" customHeight="true" outlineLevel="0" collapsed="false">
      <c r="A39" s="6" t="s">
        <v>150</v>
      </c>
      <c r="B39" s="3" t="s">
        <v>128</v>
      </c>
      <c r="C39" s="35" t="n">
        <f aca="false">Assumptions!$B$50*(1+Assumptions!$B$39)^(C$4-2027)</f>
        <v>1000000</v>
      </c>
      <c r="D39" s="35" t="n">
        <f aca="false">Assumptions!$B$50*(1+Assumptions!$B$39)^(D$4-2027)</f>
        <v>1020000</v>
      </c>
      <c r="E39" s="35" t="n">
        <f aca="false">Assumptions!$B$50*(1+Assumptions!$B$39)^(E$4-2027)</f>
        <v>1040400</v>
      </c>
      <c r="F39" s="35" t="n">
        <f aca="false">Assumptions!$B$50*(1+Assumptions!$B$39)^(F$4-2027)</f>
        <v>1061208</v>
      </c>
      <c r="G39" s="35" t="n">
        <f aca="false">Assumptions!$B$50*(1+Assumptions!$B$39)^(G$4-2027)</f>
        <v>1082432.16</v>
      </c>
      <c r="H39" s="35" t="n">
        <f aca="false">Assumptions!$B$50*(1+Assumptions!$B$39)^(H$4-2027)</f>
        <v>1104080.8032</v>
      </c>
      <c r="I39" s="35" t="n">
        <f aca="false">Assumptions!$B$50*(1+Assumptions!$B$39)^(I$4-2027)</f>
        <v>1126162.419264</v>
      </c>
      <c r="J39" s="35" t="n">
        <f aca="false">Assumptions!$B$50*(1+Assumptions!$B$39)^(J$4-2027)</f>
        <v>1148685.66764928</v>
      </c>
      <c r="K39" s="35" t="n">
        <f aca="false">Assumptions!$B$50*(1+Assumptions!$B$39)^(K$4-2027)</f>
        <v>1171659.38100227</v>
      </c>
      <c r="L39" s="35" t="n">
        <f aca="false">Assumptions!$B$50*(1+Assumptions!$B$39)^(L$4-2027)</f>
        <v>1195092.56862231</v>
      </c>
      <c r="M39" s="34" t="n">
        <f aca="false">Assumptions!$B$50*(1+Assumptions!$B$39)^(M$4-2027)</f>
        <v>1218994.41999476</v>
      </c>
      <c r="N39" s="34" t="n">
        <f aca="false">Assumptions!$B$50*(1+Assumptions!$B$39)^(N$4-2027)</f>
        <v>1243374.30839465</v>
      </c>
      <c r="O39" s="34" t="n">
        <f aca="false">Assumptions!$B$50*(1+Assumptions!$B$39)^(O$4-2027)</f>
        <v>1268241.79456255</v>
      </c>
      <c r="P39" s="34" t="n">
        <f aca="false">Assumptions!$B$50*(1+Assumptions!$B$39)^(P$4-2027)</f>
        <v>1293606.6304538</v>
      </c>
    </row>
    <row r="40" customFormat="false" ht="15" hidden="false" customHeight="true" outlineLevel="0" collapsed="false">
      <c r="A40" s="6" t="s">
        <v>151</v>
      </c>
      <c r="B40" s="3" t="s">
        <v>128</v>
      </c>
      <c r="C40" s="35" t="n">
        <f aca="false">IF(AND(Assumptions!$B$16=1,C$4&gt;=Assumptions!$B$60),Assumptions!$B$59*Assumptions!$B$47,0)</f>
        <v>0</v>
      </c>
      <c r="D40" s="35" t="n">
        <f aca="false">IF(AND(Assumptions!$B$16=1,D$4&gt;=Assumptions!$B$60),Assumptions!$B$59*Assumptions!$B$47,0)</f>
        <v>0</v>
      </c>
      <c r="E40" s="35" t="n">
        <f aca="false">IF(AND(Assumptions!$B$16=1,E$4&gt;=Assumptions!$B$60),Assumptions!$B$59*Assumptions!$B$47,0)</f>
        <v>2738385.12212384</v>
      </c>
      <c r="F40" s="35" t="n">
        <f aca="false">IF(AND(Assumptions!$B$16=1,F$4&gt;=Assumptions!$B$60),Assumptions!$B$59*Assumptions!$B$47,0)</f>
        <v>2738385.12212384</v>
      </c>
      <c r="G40" s="35" t="n">
        <f aca="false">IF(AND(Assumptions!$B$16=1,G$4&gt;=Assumptions!$B$60),Assumptions!$B$59*Assumptions!$B$47,0)</f>
        <v>2738385.12212384</v>
      </c>
      <c r="H40" s="35" t="n">
        <f aca="false">IF(AND(Assumptions!$B$16=1,H$4&gt;=Assumptions!$B$60),Assumptions!$B$59*Assumptions!$B$47,0)</f>
        <v>2738385.12212384</v>
      </c>
      <c r="I40" s="35" t="n">
        <f aca="false">IF(AND(Assumptions!$B$16=1,I$4&gt;=Assumptions!$B$60),Assumptions!$B$59*Assumptions!$B$47,0)</f>
        <v>2738385.12212384</v>
      </c>
      <c r="J40" s="35" t="n">
        <f aca="false">IF(AND(Assumptions!$B$16=1,J$4&gt;=Assumptions!$B$60),Assumptions!$B$59*Assumptions!$B$47,0)</f>
        <v>2738385.12212384</v>
      </c>
      <c r="K40" s="35" t="n">
        <f aca="false">IF(AND(Assumptions!$B$16=1,K$4&gt;=Assumptions!$B$60),Assumptions!$B$59*Assumptions!$B$47,0)</f>
        <v>2738385.12212384</v>
      </c>
      <c r="L40" s="35" t="n">
        <f aca="false">IF(AND(Assumptions!$B$16=1,L$4&gt;=Assumptions!$B$60),Assumptions!$B$59*Assumptions!$B$47,0)</f>
        <v>2738385.12212384</v>
      </c>
      <c r="M40" s="34" t="n">
        <f aca="false">IF(AND(Assumptions!$B$16=1,M$4&gt;=Assumptions!$B$60),Assumptions!$B$59*Assumptions!$B$47,0)</f>
        <v>2738385.12212384</v>
      </c>
      <c r="N40" s="34" t="n">
        <f aca="false">IF(AND(Assumptions!$B$16=1,N$4&gt;=Assumptions!$B$60),Assumptions!$B$59*Assumptions!$B$47,0)</f>
        <v>2738385.12212384</v>
      </c>
      <c r="O40" s="34" t="n">
        <f aca="false">IF(AND(Assumptions!$B$16=1,O$4&gt;=Assumptions!$B$60),Assumptions!$B$59*Assumptions!$B$47,0)</f>
        <v>2738385.12212384</v>
      </c>
      <c r="P40" s="34" t="n">
        <f aca="false">IF(AND(Assumptions!$B$16=1,P$4&gt;=Assumptions!$B$60),Assumptions!$B$59*Assumptions!$B$47,0)</f>
        <v>2738385.12212384</v>
      </c>
    </row>
    <row r="41" customFormat="false" ht="15" hidden="false" customHeight="true" outlineLevel="0" collapsed="false">
      <c r="A41" s="23" t="s">
        <v>152</v>
      </c>
      <c r="B41" s="3" t="s">
        <v>128</v>
      </c>
      <c r="C41" s="33" t="n">
        <f aca="false">C34-C39-C40</f>
        <v>6244000</v>
      </c>
      <c r="D41" s="33" t="n">
        <f aca="false">D34-D39-D40</f>
        <v>6660859.7339041</v>
      </c>
      <c r="E41" s="33" t="n">
        <f aca="false">E34-E39-E40</f>
        <v>3461448.36448954</v>
      </c>
      <c r="F41" s="33" t="n">
        <f aca="false">F34-F39-F40</f>
        <v>4617506.59205227</v>
      </c>
      <c r="G41" s="33" t="n">
        <f aca="false">G34-G39-G40</f>
        <v>5159223.92722229</v>
      </c>
      <c r="H41" s="33" t="n">
        <f aca="false">H34-H39-H40</f>
        <v>6178285.75814598</v>
      </c>
      <c r="I41" s="33" t="n">
        <f aca="false">I34-I39-I40</f>
        <v>6769417.81712682</v>
      </c>
      <c r="J41" s="33" t="n">
        <f aca="false">J34-J39-J40</f>
        <v>7381956.69533199</v>
      </c>
      <c r="K41" s="33" t="n">
        <f aca="false">K34-K39-K40</f>
        <v>8016668.85063097</v>
      </c>
      <c r="L41" s="33" t="n">
        <f aca="false">L34-L39-L40</f>
        <v>8674348.01279903</v>
      </c>
      <c r="M41" s="34" t="n">
        <f aca="false">M34-M39-M40</f>
        <v>9355816.15053439</v>
      </c>
      <c r="N41" s="34" t="n">
        <f aca="false">N34-N39-N40</f>
        <v>10061924.4726974</v>
      </c>
      <c r="O41" s="34" t="n">
        <f aca="false">O34-O39-O40</f>
        <v>10793554.4649818</v>
      </c>
      <c r="P41" s="34" t="n">
        <f aca="false">P34-P39-P40</f>
        <v>11551618.9632697</v>
      </c>
    </row>
    <row r="42" customFormat="false" ht="15.75" hidden="false" customHeight="true" outlineLevel="0" collapsed="false"/>
    <row r="43" customFormat="false" ht="15" hidden="false" customHeight="true" outlineLevel="0" collapsed="false">
      <c r="A43" s="4" t="s">
        <v>153</v>
      </c>
      <c r="B43" s="4"/>
      <c r="C43" s="4"/>
      <c r="D43" s="4"/>
      <c r="E43" s="4"/>
      <c r="F43" s="4"/>
      <c r="G43" s="4"/>
      <c r="H43" s="4"/>
      <c r="I43" s="4"/>
      <c r="J43" s="4"/>
      <c r="K43" s="4"/>
      <c r="L43" s="4"/>
    </row>
    <row r="44" customFormat="false" ht="15" hidden="false" customHeight="true" outlineLevel="0" collapsed="false">
      <c r="A44" s="6" t="s">
        <v>154</v>
      </c>
      <c r="B44" s="3" t="s">
        <v>155</v>
      </c>
      <c r="C44" s="42" t="n">
        <v>0</v>
      </c>
      <c r="D44" s="26" t="n">
        <f aca="false">(D7-C7)/Assumptions!$B$11</f>
        <v>269.999999999998</v>
      </c>
      <c r="E44" s="26" t="n">
        <f aca="false">(E7-D7)/Assumptions!$B$11</f>
        <v>274.049999999998</v>
      </c>
      <c r="F44" s="26" t="n">
        <f aca="false">(F7-E7)/Assumptions!$B$11</f>
        <v>278.160749999997</v>
      </c>
      <c r="G44" s="26" t="n">
        <f aca="false">(G7-F7)/Assumptions!$B$11</f>
        <v>282.333161250001</v>
      </c>
      <c r="H44" s="26" t="n">
        <f aca="false">(H7-G7)/Assumptions!$B$11</f>
        <v>286.568158668748</v>
      </c>
      <c r="I44" s="26" t="n">
        <f aca="false">(I7-H7)/Assumptions!$B$11</f>
        <v>290.866681048777</v>
      </c>
      <c r="J44" s="26" t="n">
        <f aca="false">(J7-I7)/Assumptions!$B$11</f>
        <v>295.229681264514</v>
      </c>
      <c r="K44" s="26" t="n">
        <f aca="false">(K7-J7)/Assumptions!$B$11</f>
        <v>299.658126483478</v>
      </c>
      <c r="L44" s="26" t="n">
        <f aca="false">(L7-K7)/Assumptions!$B$11</f>
        <v>304.152998380731</v>
      </c>
      <c r="M44" s="27" t="n">
        <f aca="false">(M7-L7)/Assumptions!$B$11</f>
        <v>308.715293356441</v>
      </c>
      <c r="N44" s="27" t="n">
        <f aca="false">(N7-M7)/Assumptions!$B$11</f>
        <v>313.346022756789</v>
      </c>
      <c r="O44" s="27" t="n">
        <f aca="false">(O7-N7)/Assumptions!$B$11</f>
        <v>318.04621309814</v>
      </c>
      <c r="P44" s="27" t="n">
        <f aca="false">(P7-O7)/Assumptions!$B$11</f>
        <v>322.816906294613</v>
      </c>
    </row>
    <row r="45" customFormat="false" ht="15" hidden="false" customHeight="true" outlineLevel="0" collapsed="false">
      <c r="A45" s="6" t="s">
        <v>156</v>
      </c>
      <c r="B45" s="3" t="s">
        <v>155</v>
      </c>
      <c r="C45" s="26" t="n">
        <f aca="false">IF(C4=Assumptions!$B$12,Assumptions!$B$10,0)</f>
        <v>0</v>
      </c>
      <c r="D45" s="26" t="n">
        <f aca="false">IF(D4=Assumptions!$B$12,Assumptions!$B$10,0)</f>
        <v>0</v>
      </c>
      <c r="E45" s="26" t="n">
        <f aca="false">IF(E4=Assumptions!$B$12,Assumptions!$B$10,0)</f>
        <v>0</v>
      </c>
      <c r="F45" s="26" t="n">
        <f aca="false">IF(F4=Assumptions!$B$12,Assumptions!$B$10,0)</f>
        <v>0</v>
      </c>
      <c r="G45" s="26" t="n">
        <f aca="false">IF(G4=Assumptions!$B$12,Assumptions!$B$10,0)</f>
        <v>0</v>
      </c>
      <c r="H45" s="26" t="n">
        <f aca="false">IF(H4=Assumptions!$B$12,Assumptions!$B$10,0)</f>
        <v>500</v>
      </c>
      <c r="I45" s="26" t="n">
        <f aca="false">IF(I4=Assumptions!$B$12,Assumptions!$B$10,0)</f>
        <v>0</v>
      </c>
      <c r="J45" s="26" t="n">
        <f aca="false">IF(J4=Assumptions!$B$12,Assumptions!$B$10,0)</f>
        <v>0</v>
      </c>
      <c r="K45" s="26" t="n">
        <f aca="false">IF(K4=Assumptions!$B$12,Assumptions!$B$10,0)</f>
        <v>0</v>
      </c>
      <c r="L45" s="26" t="n">
        <f aca="false">IF(L4=Assumptions!$B$12,Assumptions!$B$10,0)</f>
        <v>0</v>
      </c>
      <c r="M45" s="27" t="n">
        <f aca="false">IF(M4=Assumptions!$B$12,Assumptions!$B$10,0)</f>
        <v>0</v>
      </c>
      <c r="N45" s="27" t="n">
        <f aca="false">IF(N4=Assumptions!$B$12,Assumptions!$B$10,0)</f>
        <v>0</v>
      </c>
      <c r="O45" s="27" t="n">
        <f aca="false">IF(O4=Assumptions!$B$12,Assumptions!$B$10,0)</f>
        <v>0</v>
      </c>
      <c r="P45" s="27" t="n">
        <f aca="false">IF(P4=Assumptions!$B$12,Assumptions!$B$10,0)</f>
        <v>0</v>
      </c>
    </row>
    <row r="46" customFormat="false" ht="15" hidden="false" customHeight="true" outlineLevel="0" collapsed="false">
      <c r="A46" s="23" t="s">
        <v>157</v>
      </c>
      <c r="B46" s="3" t="s">
        <v>155</v>
      </c>
      <c r="C46" s="28" t="n">
        <f aca="false">C44+C45</f>
        <v>0</v>
      </c>
      <c r="D46" s="28" t="n">
        <f aca="false">D44+D45</f>
        <v>269.999999999998</v>
      </c>
      <c r="E46" s="28" t="n">
        <f aca="false">E44+E45</f>
        <v>274.049999999998</v>
      </c>
      <c r="F46" s="28" t="n">
        <f aca="false">F44+F45</f>
        <v>278.160749999997</v>
      </c>
      <c r="G46" s="28" t="n">
        <f aca="false">G44+G45</f>
        <v>282.333161250001</v>
      </c>
      <c r="H46" s="28" t="n">
        <f aca="false">H44+H45</f>
        <v>786.568158668748</v>
      </c>
      <c r="I46" s="28" t="n">
        <f aca="false">I44+I45</f>
        <v>290.866681048777</v>
      </c>
      <c r="J46" s="28" t="n">
        <f aca="false">J44+J45</f>
        <v>295.229681264514</v>
      </c>
      <c r="K46" s="28" t="n">
        <f aca="false">K44+K45</f>
        <v>299.658126483478</v>
      </c>
      <c r="L46" s="28" t="n">
        <f aca="false">L44+L45</f>
        <v>304.152998380731</v>
      </c>
      <c r="M46" s="27" t="n">
        <f aca="false">M44+M45</f>
        <v>308.715293356441</v>
      </c>
      <c r="N46" s="27" t="n">
        <f aca="false">N44+N45</f>
        <v>313.346022756789</v>
      </c>
      <c r="O46" s="27" t="n">
        <f aca="false">O44+O45</f>
        <v>318.04621309814</v>
      </c>
      <c r="P46" s="27" t="n">
        <f aca="false">P44+P45</f>
        <v>322.816906294613</v>
      </c>
    </row>
    <row r="47" customFormat="false" ht="15" hidden="false" customHeight="true" outlineLevel="0" collapsed="false">
      <c r="A47" s="6" t="s">
        <v>158</v>
      </c>
      <c r="B47" s="3" t="s">
        <v>128</v>
      </c>
      <c r="C47" s="35" t="n">
        <f aca="false">Assumptions!$B$63</f>
        <v>4600</v>
      </c>
      <c r="D47" s="35" t="n">
        <f aca="false">Assumptions!$B$63</f>
        <v>4600</v>
      </c>
      <c r="E47" s="35" t="n">
        <f aca="false">Assumptions!$B$63</f>
        <v>4600</v>
      </c>
      <c r="F47" s="35" t="n">
        <f aca="false">Assumptions!$B$63</f>
        <v>4600</v>
      </c>
      <c r="G47" s="35" t="n">
        <f aca="false">Assumptions!$B$63</f>
        <v>4600</v>
      </c>
      <c r="H47" s="35" t="n">
        <f aca="false">Assumptions!$B$63</f>
        <v>4600</v>
      </c>
      <c r="I47" s="35" t="n">
        <f aca="false">Assumptions!$B$63</f>
        <v>4600</v>
      </c>
      <c r="J47" s="35" t="n">
        <f aca="false">Assumptions!$B$63</f>
        <v>4600</v>
      </c>
      <c r="K47" s="35" t="n">
        <f aca="false">Assumptions!$B$63</f>
        <v>4600</v>
      </c>
      <c r="L47" s="35" t="n">
        <f aca="false">Assumptions!$B$63</f>
        <v>4600</v>
      </c>
      <c r="M47" s="34" t="n">
        <f aca="false">Assumptions!$B$63</f>
        <v>4600</v>
      </c>
      <c r="N47" s="34" t="n">
        <f aca="false">Assumptions!$B$63</f>
        <v>4600</v>
      </c>
      <c r="O47" s="34" t="n">
        <f aca="false">Assumptions!$B$63</f>
        <v>4600</v>
      </c>
      <c r="P47" s="34" t="n">
        <f aca="false">Assumptions!$B$63</f>
        <v>4600</v>
      </c>
    </row>
    <row r="48" customFormat="false" ht="15" hidden="false" customHeight="true" outlineLevel="0" collapsed="false">
      <c r="A48" s="43" t="s">
        <v>159</v>
      </c>
      <c r="B48" s="44" t="s">
        <v>128</v>
      </c>
      <c r="C48" s="45" t="n">
        <f aca="false">C46*C47</f>
        <v>0</v>
      </c>
      <c r="D48" s="45" t="n">
        <f aca="false">D46*D47</f>
        <v>1241999.99999999</v>
      </c>
      <c r="E48" s="45" t="n">
        <f aca="false">E46*E47</f>
        <v>1260629.99999999</v>
      </c>
      <c r="F48" s="45" t="n">
        <f aca="false">F46*F47</f>
        <v>1279539.44999999</v>
      </c>
      <c r="G48" s="45" t="n">
        <f aca="false">G46*G47</f>
        <v>1298732.54175001</v>
      </c>
      <c r="H48" s="45" t="n">
        <f aca="false">H46*H47</f>
        <v>3618213.52987624</v>
      </c>
      <c r="I48" s="45" t="n">
        <f aca="false">I46*I47</f>
        <v>1337986.73282437</v>
      </c>
      <c r="J48" s="45" t="n">
        <f aca="false">J46*J47</f>
        <v>1358056.53381676</v>
      </c>
      <c r="K48" s="45" t="n">
        <f aca="false">K46*K47</f>
        <v>1378427.381824</v>
      </c>
      <c r="L48" s="45" t="n">
        <f aca="false">L46*L47</f>
        <v>1399103.79255136</v>
      </c>
      <c r="M48" s="34" t="n">
        <f aca="false">M46*M47</f>
        <v>1420090.34943963</v>
      </c>
      <c r="N48" s="34" t="n">
        <f aca="false">N46*N47</f>
        <v>1441391.70468123</v>
      </c>
      <c r="O48" s="34" t="n">
        <f aca="false">O46*O47</f>
        <v>1463012.58025145</v>
      </c>
      <c r="P48" s="34" t="n">
        <f aca="false">P46*P47</f>
        <v>1484957.76895522</v>
      </c>
    </row>
    <row r="49" customFormat="false" ht="15.75" hidden="false" customHeight="true" outlineLevel="0" collapsed="false"/>
    <row r="50" customFormat="false" ht="15" hidden="false" customHeight="true" outlineLevel="0" collapsed="false">
      <c r="A50" s="43" t="s">
        <v>160</v>
      </c>
      <c r="B50" s="44" t="s">
        <v>128</v>
      </c>
      <c r="C50" s="45" t="n">
        <f aca="false">C34+C48</f>
        <v>7244000</v>
      </c>
      <c r="D50" s="45" t="n">
        <f aca="false">D34+D48</f>
        <v>8922859.73390409</v>
      </c>
      <c r="E50" s="45" t="n">
        <f aca="false">E34+E48</f>
        <v>8500863.48661337</v>
      </c>
      <c r="F50" s="45" t="n">
        <f aca="false">F34+F48</f>
        <v>9696639.1641761</v>
      </c>
      <c r="G50" s="45" t="n">
        <f aca="false">G34+G48</f>
        <v>10278773.7510961</v>
      </c>
      <c r="H50" s="45" t="n">
        <f aca="false">H34+H48</f>
        <v>13638965.2133461</v>
      </c>
      <c r="I50" s="45" t="n">
        <f aca="false">I34+I48</f>
        <v>11971952.091339</v>
      </c>
      <c r="J50" s="45" t="n">
        <f aca="false">J34+J48</f>
        <v>12627084.0189219</v>
      </c>
      <c r="K50" s="45" t="n">
        <f aca="false">K34+K48</f>
        <v>13305140.7355811</v>
      </c>
      <c r="L50" s="45" t="n">
        <f aca="false">L34+L48</f>
        <v>14006929.4960965</v>
      </c>
      <c r="M50" s="34" t="n">
        <f aca="false">M34+M48</f>
        <v>14733286.0420926</v>
      </c>
      <c r="N50" s="34" t="n">
        <f aca="false">N34+N48</f>
        <v>15485075.6078972</v>
      </c>
      <c r="O50" s="34" t="n">
        <f aca="false">O34+O48</f>
        <v>16263193.9619196</v>
      </c>
      <c r="P50" s="34" t="n">
        <f aca="false">P34+P48</f>
        <v>17068568.4848025</v>
      </c>
    </row>
    <row r="51" customFormat="false" ht="15.75" hidden="false" customHeight="true" outlineLevel="0" collapsed="false"/>
    <row r="52" customFormat="false" ht="69.75" hidden="false" customHeight="true" outlineLevel="0" collapsed="false">
      <c r="A52" s="46" t="s">
        <v>161</v>
      </c>
    </row>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46"/>
    <col collapsed="false" customWidth="true" hidden="false" outlineLevel="0" max="2" min="2" style="1" width="16"/>
    <col collapsed="false" customWidth="true" hidden="false" outlineLevel="0" max="3" min="3" style="1" width="7"/>
    <col collapsed="false" customWidth="true" hidden="false" outlineLevel="0" max="4" min="4" style="1" width="58"/>
    <col collapsed="false" customWidth="true" hidden="false" outlineLevel="0" max="6" min="5" style="1" width="8.71"/>
  </cols>
  <sheetData>
    <row r="1" customFormat="false" ht="17.25" hidden="false" customHeight="true" outlineLevel="0" collapsed="false">
      <c r="A1" s="2" t="s">
        <v>162</v>
      </c>
    </row>
    <row r="2" customFormat="false" ht="15" hidden="false" customHeight="true" outlineLevel="0" collapsed="false"/>
    <row r="3" customFormat="false" ht="15" hidden="false" customHeight="true" outlineLevel="0" collapsed="false">
      <c r="A3" s="3" t="s">
        <v>163</v>
      </c>
    </row>
    <row r="4" customFormat="false" ht="15" hidden="false" customHeight="true" outlineLevel="0" collapsed="false"/>
    <row r="5" customFormat="false" ht="15" hidden="false" customHeight="true" outlineLevel="0" collapsed="false">
      <c r="A5" s="4" t="s">
        <v>164</v>
      </c>
      <c r="B5" s="5"/>
      <c r="C5" s="5"/>
      <c r="D5" s="5"/>
    </row>
    <row r="6" customFormat="false" ht="15" hidden="false" customHeight="true" outlineLevel="0" collapsed="false">
      <c r="A6" s="6" t="s">
        <v>165</v>
      </c>
      <c r="B6" s="9" t="n">
        <v>3500000</v>
      </c>
      <c r="D6" s="3" t="s">
        <v>166</v>
      </c>
    </row>
    <row r="7" customFormat="false" ht="15" hidden="false" customHeight="true" outlineLevel="0" collapsed="false">
      <c r="A7" s="6" t="s">
        <v>167</v>
      </c>
      <c r="B7" s="47" t="n">
        <v>0.66</v>
      </c>
      <c r="D7" s="3" t="s">
        <v>168</v>
      </c>
    </row>
    <row r="8" customFormat="false" ht="15" hidden="false" customHeight="true" outlineLevel="0" collapsed="false">
      <c r="A8" s="6" t="s">
        <v>169</v>
      </c>
      <c r="B8" s="18" t="n">
        <v>75600000</v>
      </c>
      <c r="D8" s="3" t="s">
        <v>170</v>
      </c>
    </row>
    <row r="9" customFormat="false" ht="15" hidden="false" customHeight="true" outlineLevel="0" collapsed="false">
      <c r="A9" s="6" t="s">
        <v>171</v>
      </c>
      <c r="B9" s="10" t="n">
        <v>25</v>
      </c>
      <c r="D9" s="3" t="s">
        <v>172</v>
      </c>
    </row>
    <row r="10" customFormat="false" ht="15" hidden="false" customHeight="true" outlineLevel="0" collapsed="false">
      <c r="A10" s="6" t="s">
        <v>173</v>
      </c>
      <c r="B10" s="15" t="n">
        <v>0.045</v>
      </c>
      <c r="D10" s="3" t="s">
        <v>174</v>
      </c>
    </row>
    <row r="11" customFormat="false" ht="15" hidden="false" customHeight="true" outlineLevel="0" collapsed="false">
      <c r="A11" s="6" t="s">
        <v>175</v>
      </c>
      <c r="B11" s="19" t="n">
        <f aca="false">B8*(B10/(1-(1+B10)^-B9))</f>
        <v>5098390.51972531</v>
      </c>
      <c r="D11" s="3" t="s">
        <v>176</v>
      </c>
    </row>
    <row r="12" customFormat="false" ht="15" hidden="false" customHeight="true" outlineLevel="0" collapsed="false">
      <c r="A12" s="6" t="s">
        <v>177</v>
      </c>
      <c r="B12" s="48" t="n">
        <f aca="false">Assumptions!$B$18</f>
        <v>1.95</v>
      </c>
      <c r="D12" s="3" t="s">
        <v>178</v>
      </c>
    </row>
    <row r="13" customFormat="false" ht="15" hidden="false" customHeight="true" outlineLevel="0" collapsed="false">
      <c r="A13" s="6" t="s">
        <v>179</v>
      </c>
      <c r="B13" s="17" t="n">
        <v>2000000</v>
      </c>
      <c r="D13" s="3" t="s">
        <v>180</v>
      </c>
    </row>
    <row r="14" customFormat="false" ht="15" hidden="false" customHeight="true" outlineLevel="0" collapsed="false"/>
    <row r="15" customFormat="false" ht="15" hidden="false" customHeight="true" outlineLevel="0" collapsed="false">
      <c r="A15" s="4" t="s">
        <v>181</v>
      </c>
      <c r="B15" s="5"/>
      <c r="C15" s="5"/>
      <c r="D15" s="5"/>
    </row>
    <row r="16" customFormat="false" ht="15" hidden="false" customHeight="true" outlineLevel="0" collapsed="false">
      <c r="A16" s="6" t="s">
        <v>182</v>
      </c>
      <c r="B16" s="19" t="n">
        <f aca="false">B6*B7</f>
        <v>2310000</v>
      </c>
    </row>
    <row r="17" customFormat="false" ht="15" hidden="false" customHeight="true" outlineLevel="0" collapsed="false">
      <c r="A17" s="6" t="s">
        <v>183</v>
      </c>
      <c r="B17" s="19" t="n">
        <f aca="false">B11</f>
        <v>5098390.51972531</v>
      </c>
    </row>
    <row r="18" customFormat="false" ht="15" hidden="false" customHeight="true" outlineLevel="0" collapsed="false">
      <c r="A18" s="23" t="s">
        <v>184</v>
      </c>
      <c r="B18" s="19" t="n">
        <f aca="false">B16+B17</f>
        <v>7408390.51972531</v>
      </c>
    </row>
    <row r="19" customFormat="false" ht="15" hidden="false" customHeight="true" outlineLevel="0" collapsed="false">
      <c r="A19" s="23" t="s">
        <v>185</v>
      </c>
      <c r="B19" s="49" t="n">
        <f aca="false">B18/B6</f>
        <v>2.1166830056358</v>
      </c>
    </row>
    <row r="20" customFormat="false" ht="15" hidden="false" customHeight="true" outlineLevel="0" collapsed="false"/>
    <row r="21" customFormat="false" ht="15" hidden="false" customHeight="true" outlineLevel="0" collapsed="false">
      <c r="A21" s="4" t="s">
        <v>186</v>
      </c>
      <c r="B21" s="5"/>
      <c r="C21" s="5"/>
      <c r="D21" s="5"/>
    </row>
    <row r="22" customFormat="false" ht="15" hidden="false" customHeight="true" outlineLevel="0" collapsed="false">
      <c r="A22" s="6" t="s">
        <v>187</v>
      </c>
      <c r="B22" s="19" t="n">
        <f aca="false">B6*B12</f>
        <v>6825000</v>
      </c>
    </row>
    <row r="23" customFormat="false" ht="15" hidden="false" customHeight="true" outlineLevel="0" collapsed="false">
      <c r="A23" s="6" t="s">
        <v>188</v>
      </c>
      <c r="B23" s="19" t="n">
        <v>0</v>
      </c>
    </row>
    <row r="24" customFormat="false" ht="15" hidden="false" customHeight="true" outlineLevel="0" collapsed="false">
      <c r="A24" s="6" t="s">
        <v>189</v>
      </c>
      <c r="B24" s="19" t="n">
        <f aca="false">-B13</f>
        <v>-2000000</v>
      </c>
    </row>
    <row r="25" customFormat="false" ht="15" hidden="false" customHeight="true" outlineLevel="0" collapsed="false">
      <c r="A25" s="23" t="s">
        <v>190</v>
      </c>
      <c r="B25" s="19" t="n">
        <f aca="false">B22+B23+B24</f>
        <v>4825000</v>
      </c>
    </row>
    <row r="26" customFormat="false" ht="15" hidden="false" customHeight="true" outlineLevel="0" collapsed="false">
      <c r="A26" s="23" t="s">
        <v>191</v>
      </c>
      <c r="B26" s="49" t="n">
        <f aca="false">B25/B6</f>
        <v>1.37857142857143</v>
      </c>
    </row>
    <row r="27" customFormat="false" ht="15.75" hidden="false" customHeight="true" outlineLevel="0" collapsed="false"/>
    <row r="28" customFormat="false" ht="15" hidden="false" customHeight="true" outlineLevel="0" collapsed="false">
      <c r="A28" s="4" t="s">
        <v>192</v>
      </c>
      <c r="B28" s="5"/>
      <c r="C28" s="5"/>
      <c r="D28" s="5"/>
    </row>
    <row r="29" customFormat="false" ht="15" hidden="false" customHeight="true" outlineLevel="0" collapsed="false">
      <c r="A29" s="23" t="s">
        <v>193</v>
      </c>
      <c r="B29" s="50" t="n">
        <f aca="false">B18-B25</f>
        <v>2583390.51972531</v>
      </c>
    </row>
    <row r="30" customFormat="false" ht="15" hidden="false" customHeight="true" outlineLevel="0" collapsed="false">
      <c r="A30" s="23" t="s">
        <v>194</v>
      </c>
      <c r="B30" s="51" t="n">
        <f aca="false">B19-B26</f>
        <v>0.738111577064374</v>
      </c>
    </row>
    <row r="31" customFormat="false" ht="15.75" hidden="false" customHeight="true" outlineLevel="0" collapsed="false"/>
    <row r="32" customFormat="false" ht="42" hidden="false" customHeight="true" outlineLevel="0" collapsed="false">
      <c r="A32" s="46" t="s">
        <v>195</v>
      </c>
    </row>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48"/>
    <col collapsed="false" customWidth="true" hidden="false" outlineLevel="0" max="2" min="2" style="1" width="16"/>
    <col collapsed="false" customWidth="true" hidden="false" outlineLevel="0" max="3" min="3" style="1" width="7"/>
    <col collapsed="false" customWidth="true" hidden="false" outlineLevel="0" max="4" min="4" style="1" width="60"/>
    <col collapsed="false" customWidth="true" hidden="false" outlineLevel="0" max="6" min="5" style="1" width="8.71"/>
  </cols>
  <sheetData>
    <row r="1" customFormat="false" ht="17.25" hidden="false" customHeight="true" outlineLevel="0" collapsed="false">
      <c r="A1" s="2" t="s">
        <v>196</v>
      </c>
    </row>
    <row r="2" customFormat="false" ht="15" hidden="false" customHeight="true" outlineLevel="0" collapsed="false"/>
    <row r="3" customFormat="false" ht="42" hidden="false" customHeight="true" outlineLevel="0" collapsed="false">
      <c r="A3" s="52" t="s">
        <v>197</v>
      </c>
    </row>
    <row r="4" customFormat="false" ht="15" hidden="false" customHeight="true" outlineLevel="0" collapsed="false"/>
    <row r="5" customFormat="false" ht="15" hidden="false" customHeight="true" outlineLevel="0" collapsed="false">
      <c r="A5" s="53" t="s">
        <v>198</v>
      </c>
      <c r="B5" s="54"/>
      <c r="C5" s="54"/>
      <c r="D5" s="54"/>
    </row>
    <row r="6" customFormat="false" ht="15" hidden="false" customHeight="true" outlineLevel="0" collapsed="false">
      <c r="A6" s="6" t="s">
        <v>199</v>
      </c>
      <c r="B6" s="21" t="n">
        <v>11</v>
      </c>
      <c r="D6" s="3" t="s">
        <v>200</v>
      </c>
    </row>
    <row r="7" customFormat="false" ht="15" hidden="false" customHeight="true" outlineLevel="0" collapsed="false">
      <c r="A7" s="6" t="s">
        <v>201</v>
      </c>
      <c r="B7" s="17" t="n">
        <v>1500</v>
      </c>
      <c r="D7" s="3" t="s">
        <v>202</v>
      </c>
    </row>
    <row r="8" customFormat="false" ht="15" hidden="false" customHeight="true" outlineLevel="0" collapsed="false">
      <c r="A8" s="6" t="s">
        <v>203</v>
      </c>
      <c r="B8" s="19" t="n">
        <f aca="false">B6*1000*B7</f>
        <v>16500000</v>
      </c>
      <c r="D8" s="3" t="s">
        <v>204</v>
      </c>
    </row>
    <row r="9" customFormat="false" ht="15" hidden="false" customHeight="true" outlineLevel="0" collapsed="false">
      <c r="A9" s="6" t="s">
        <v>205</v>
      </c>
      <c r="B9" s="18" t="n">
        <v>2200</v>
      </c>
      <c r="D9" s="3" t="s">
        <v>206</v>
      </c>
    </row>
    <row r="10" customFormat="false" ht="15" hidden="false" customHeight="true" outlineLevel="0" collapsed="false">
      <c r="A10" s="6" t="s">
        <v>207</v>
      </c>
      <c r="B10" s="19" t="n">
        <f aca="false">B6*1000*B9</f>
        <v>24200000</v>
      </c>
    </row>
    <row r="11" customFormat="false" ht="15" hidden="false" customHeight="true" outlineLevel="0" collapsed="false">
      <c r="A11" s="23" t="s">
        <v>208</v>
      </c>
      <c r="B11" s="19" t="n">
        <f aca="false">B10-B8</f>
        <v>7700000</v>
      </c>
    </row>
    <row r="12" customFormat="false" ht="15" hidden="false" customHeight="true" outlineLevel="0" collapsed="false"/>
    <row r="13" customFormat="false" ht="15" hidden="false" customHeight="true" outlineLevel="0" collapsed="false">
      <c r="A13" s="53" t="s">
        <v>209</v>
      </c>
      <c r="B13" s="54"/>
      <c r="C13" s="54"/>
      <c r="D13" s="54"/>
    </row>
    <row r="14" customFormat="false" ht="15" hidden="false" customHeight="true" outlineLevel="0" collapsed="false">
      <c r="A14" s="6" t="s">
        <v>210</v>
      </c>
      <c r="B14" s="17" t="n">
        <v>10000000</v>
      </c>
      <c r="D14" s="3" t="s">
        <v>211</v>
      </c>
    </row>
    <row r="15" customFormat="false" ht="15" hidden="false" customHeight="true" outlineLevel="0" collapsed="false">
      <c r="A15" s="6" t="s">
        <v>212</v>
      </c>
      <c r="B15" s="15" t="n">
        <v>0.25</v>
      </c>
    </row>
    <row r="16" customFormat="false" ht="15" hidden="false" customHeight="true" outlineLevel="0" collapsed="false">
      <c r="A16" s="23" t="s">
        <v>213</v>
      </c>
      <c r="B16" s="19" t="n">
        <f aca="false">(B8+B14)*(1+B15)</f>
        <v>33125000</v>
      </c>
    </row>
    <row r="17" customFormat="false" ht="15" hidden="false" customHeight="true" outlineLevel="0" collapsed="false"/>
    <row r="18" customFormat="false" ht="15" hidden="false" customHeight="true" outlineLevel="0" collapsed="false">
      <c r="A18" s="53" t="s">
        <v>214</v>
      </c>
      <c r="B18" s="54"/>
      <c r="C18" s="54"/>
      <c r="D18" s="54"/>
    </row>
    <row r="19" customFormat="false" ht="15" hidden="false" customHeight="true" outlineLevel="0" collapsed="false">
      <c r="A19" s="6" t="s">
        <v>215</v>
      </c>
      <c r="B19" s="18" t="n">
        <v>100000000</v>
      </c>
      <c r="D19" s="3" t="s">
        <v>216</v>
      </c>
    </row>
    <row r="20" customFormat="false" ht="15" hidden="false" customHeight="true" outlineLevel="0" collapsed="false">
      <c r="A20" s="6" t="s">
        <v>217</v>
      </c>
      <c r="B20" s="18" t="n">
        <v>250000000</v>
      </c>
      <c r="D20" s="3" t="s">
        <v>218</v>
      </c>
    </row>
    <row r="21" customFormat="false" ht="15.75" hidden="false" customHeight="true" outlineLevel="0" collapsed="false">
      <c r="A21" s="6" t="s">
        <v>219</v>
      </c>
      <c r="B21" s="17" t="n">
        <v>200000000</v>
      </c>
      <c r="D21" s="3" t="s">
        <v>220</v>
      </c>
    </row>
    <row r="22" customFormat="false" ht="42" hidden="false" customHeight="true" outlineLevel="0" collapsed="false">
      <c r="A22" s="52" t="s">
        <v>221</v>
      </c>
    </row>
    <row r="23" customFormat="false" ht="15.75" hidden="false" customHeight="true" outlineLevel="0" collapsed="false"/>
    <row r="24" customFormat="false" ht="15.75" hidden="false" customHeight="true" outlineLevel="0" collapsed="false"/>
    <row r="25" customFormat="false" ht="15.75" hidden="false" customHeight="true" outlineLevel="0" collapsed="false">
      <c r="A25" s="53" t="s">
        <v>222</v>
      </c>
      <c r="B25" s="54"/>
      <c r="C25" s="54"/>
      <c r="D25" s="54"/>
    </row>
    <row r="26" customFormat="false" ht="42" hidden="false" customHeight="true" outlineLevel="0" collapsed="false">
      <c r="A26" s="55" t="s">
        <v>223</v>
      </c>
      <c r="B26" s="55"/>
      <c r="C26" s="55"/>
      <c r="D26" s="55"/>
    </row>
    <row r="27" customFormat="false" ht="15.75" hidden="false" customHeight="true" outlineLevel="0" collapsed="false">
      <c r="A27" s="6" t="s">
        <v>224</v>
      </c>
      <c r="B27" s="9" t="n">
        <v>5500000</v>
      </c>
      <c r="D27" s="3" t="s">
        <v>225</v>
      </c>
    </row>
    <row r="28" customFormat="false" ht="15.75" hidden="false" customHeight="true" outlineLevel="0" collapsed="false">
      <c r="A28" s="6" t="s">
        <v>35</v>
      </c>
      <c r="B28" s="18" t="n">
        <v>2500000</v>
      </c>
      <c r="D28" s="3" t="s">
        <v>226</v>
      </c>
    </row>
    <row r="29" customFormat="false" ht="15.75" hidden="false" customHeight="true" outlineLevel="0" collapsed="false">
      <c r="A29" s="6" t="s">
        <v>37</v>
      </c>
      <c r="B29" s="18" t="n">
        <v>1500000</v>
      </c>
      <c r="D29" s="3" t="s">
        <v>227</v>
      </c>
    </row>
    <row r="30" customFormat="false" ht="15.75" hidden="false" customHeight="true" outlineLevel="0" collapsed="false">
      <c r="A30" s="6" t="s">
        <v>39</v>
      </c>
      <c r="B30" s="18" t="n">
        <v>800000</v>
      </c>
      <c r="D30" s="3" t="s">
        <v>228</v>
      </c>
    </row>
    <row r="31" customFormat="false" ht="15.75" hidden="false" customHeight="true" outlineLevel="0" collapsed="false">
      <c r="A31" s="6" t="s">
        <v>229</v>
      </c>
      <c r="B31" s="56" t="n">
        <v>0.25</v>
      </c>
      <c r="D31" s="3" t="s">
        <v>230</v>
      </c>
    </row>
    <row r="32" customFormat="false" ht="15.75" hidden="false" customHeight="true" outlineLevel="0" collapsed="false">
      <c r="A32" s="6" t="s">
        <v>231</v>
      </c>
      <c r="B32" s="56" t="n">
        <v>0.12</v>
      </c>
      <c r="D32" s="3" t="s">
        <v>232</v>
      </c>
    </row>
    <row r="33" customFormat="false" ht="15.75" hidden="false" customHeight="true" outlineLevel="0" collapsed="false">
      <c r="A33" s="6" t="s">
        <v>233</v>
      </c>
      <c r="B33" s="18" t="n">
        <v>1200000</v>
      </c>
      <c r="D33" s="3" t="s">
        <v>234</v>
      </c>
    </row>
    <row r="34" customFormat="false" ht="15.75" hidden="false" customHeight="true" outlineLevel="0" collapsed="false"/>
    <row r="35" customFormat="false" ht="15.75" hidden="false" customHeight="true" outlineLevel="0" collapsed="false">
      <c r="A35" s="6" t="s">
        <v>235</v>
      </c>
      <c r="B35" s="19" t="n">
        <f aca="false">(B31+B32)*B27</f>
        <v>2035000</v>
      </c>
      <c r="D35" s="3" t="s">
        <v>236</v>
      </c>
    </row>
    <row r="36" customFormat="false" ht="15.75" hidden="false" customHeight="true" outlineLevel="0" collapsed="false">
      <c r="A36" s="6" t="s">
        <v>237</v>
      </c>
      <c r="B36" s="35" t="n">
        <f aca="false">Assumptions!$B$28*(1-Assumptions!$B$29)+Assumptions!$B$70*(1-Assumptions!$B$34)+Assumptions!$B$69*(1-Assumptions!$B$38)+Assumptions!$B$35*(1-Assumptions!$B$36)</f>
        <v>3500000</v>
      </c>
      <c r="D36" s="3" t="s">
        <v>238</v>
      </c>
    </row>
    <row r="37" customFormat="false" ht="15.75" hidden="false" customHeight="true" outlineLevel="0" collapsed="false">
      <c r="A37" s="6" t="s">
        <v>239</v>
      </c>
      <c r="B37" s="57" t="n">
        <f aca="false">B28+B29+B30+B33+B35+B36</f>
        <v>11535000</v>
      </c>
      <c r="D37" s="3" t="s">
        <v>240</v>
      </c>
    </row>
    <row r="38" customFormat="false" ht="15.75" hidden="false" customHeight="true" outlineLevel="0" collapsed="false"/>
    <row r="39" customFormat="false" ht="15.75" hidden="false" customHeight="true" outlineLevel="0" collapsed="false">
      <c r="A39" s="53" t="s">
        <v>241</v>
      </c>
      <c r="B39" s="54"/>
      <c r="C39" s="54"/>
      <c r="D39" s="54"/>
    </row>
    <row r="40" customFormat="false" ht="54" hidden="false" customHeight="true" outlineLevel="0" collapsed="false">
      <c r="A40" s="55" t="s">
        <v>242</v>
      </c>
      <c r="B40" s="55"/>
      <c r="C40" s="55"/>
      <c r="D40" s="55"/>
    </row>
    <row r="41" customFormat="false" ht="15.75" hidden="false" customHeight="true" outlineLevel="0" collapsed="false">
      <c r="A41" s="6" t="s">
        <v>243</v>
      </c>
      <c r="B41" s="19" t="n">
        <f aca="false">B28+B29+B30+B33+B35</f>
        <v>8035000</v>
      </c>
      <c r="D41" s="3" t="s">
        <v>244</v>
      </c>
    </row>
    <row r="42" customFormat="false" ht="15.75" hidden="false" customHeight="true" outlineLevel="0" collapsed="false">
      <c r="A42" s="6" t="s">
        <v>245</v>
      </c>
      <c r="B42" s="19" t="n">
        <f aca="false">B36</f>
        <v>3500000</v>
      </c>
      <c r="D42" s="3" t="s">
        <v>246</v>
      </c>
    </row>
    <row r="43" customFormat="false" ht="15.75" hidden="false" customHeight="true" outlineLevel="0" collapsed="false">
      <c r="A43" s="6" t="s">
        <v>247</v>
      </c>
      <c r="B43" s="17" t="n">
        <v>2500000</v>
      </c>
      <c r="D43" s="3" t="s">
        <v>248</v>
      </c>
    </row>
    <row r="44" customFormat="false" ht="15.75" hidden="false" customHeight="true" outlineLevel="0" collapsed="false">
      <c r="A44" s="6" t="s">
        <v>249</v>
      </c>
      <c r="B44" s="18" t="n">
        <v>750000</v>
      </c>
      <c r="D44" s="3" t="s">
        <v>250</v>
      </c>
    </row>
    <row r="45" customFormat="false" ht="15.75" hidden="false" customHeight="true" outlineLevel="0" collapsed="false">
      <c r="A45" s="6" t="s">
        <v>251</v>
      </c>
      <c r="B45" s="15" t="n">
        <v>0.15</v>
      </c>
      <c r="D45" s="3" t="s">
        <v>252</v>
      </c>
    </row>
    <row r="46" customFormat="false" ht="15.75" hidden="false" customHeight="true" outlineLevel="0" collapsed="false">
      <c r="A46" s="6" t="s">
        <v>253</v>
      </c>
      <c r="B46" s="57" t="n">
        <f aca="false">B41+B42+B43+B44</f>
        <v>14785000</v>
      </c>
      <c r="D46" s="3" t="s">
        <v>254</v>
      </c>
    </row>
    <row r="47" customFormat="false" ht="15.75" hidden="false" customHeight="true" outlineLevel="0" collapsed="false">
      <c r="A47" s="6"/>
      <c r="B47" s="57"/>
      <c r="D47" s="3"/>
    </row>
    <row r="48" customFormat="false" ht="27.75" hidden="false" customHeight="true" outlineLevel="0" collapsed="false">
      <c r="A48" s="55" t="s">
        <v>255</v>
      </c>
      <c r="B48" s="55"/>
      <c r="C48" s="55"/>
      <c r="D48" s="55"/>
    </row>
    <row r="49" customFormat="false" ht="15.75" hidden="false" customHeight="true" outlineLevel="0" collapsed="false">
      <c r="A49" s="6" t="s">
        <v>256</v>
      </c>
      <c r="B49" s="15" t="n">
        <v>0.108</v>
      </c>
      <c r="D49" s="3" t="s">
        <v>257</v>
      </c>
    </row>
    <row r="50" customFormat="false" ht="15.75" hidden="false" customHeight="true" outlineLevel="0" collapsed="false">
      <c r="A50" s="6" t="s">
        <v>258</v>
      </c>
      <c r="B50" s="15" t="n">
        <v>0.4</v>
      </c>
      <c r="D50" s="3" t="s">
        <v>259</v>
      </c>
    </row>
    <row r="51" customFormat="false" ht="15.75" hidden="false" customHeight="true" outlineLevel="0" collapsed="false">
      <c r="A51" s="6" t="s">
        <v>260</v>
      </c>
      <c r="B51" s="57" t="n">
        <f aca="false">B49*B50*(B19+B20+B21)</f>
        <v>23760000</v>
      </c>
      <c r="D51" s="3" t="s">
        <v>261</v>
      </c>
    </row>
    <row r="52" customFormat="false" ht="15.75" hidden="false" customHeight="true" outlineLevel="0" collapsed="false">
      <c r="A52" s="6"/>
      <c r="B52" s="10"/>
      <c r="D52" s="3"/>
    </row>
    <row r="53" customFormat="false" ht="15.75" hidden="false" customHeight="true" outlineLevel="0" collapsed="false">
      <c r="A53" s="6"/>
      <c r="B53" s="57"/>
      <c r="D53" s="3"/>
    </row>
    <row r="54" customFormat="false" ht="15.75" hidden="false" customHeight="true" outlineLevel="0" collapsed="false">
      <c r="A54" s="53" t="s">
        <v>262</v>
      </c>
      <c r="B54" s="58"/>
      <c r="C54" s="54"/>
      <c r="D54" s="59"/>
    </row>
    <row r="55" customFormat="false" ht="15.75" hidden="false" customHeight="true" outlineLevel="0" collapsed="false">
      <c r="A55" s="12" t="s">
        <v>263</v>
      </c>
      <c r="B55" s="13" t="n">
        <v>1</v>
      </c>
      <c r="D55" s="3" t="s">
        <v>264</v>
      </c>
    </row>
    <row r="56" customFormat="false" ht="15.75" hidden="false" customHeight="true" outlineLevel="0" collapsed="false">
      <c r="A56" s="6" t="s">
        <v>265</v>
      </c>
      <c r="B56" s="57" t="n">
        <f aca="false">IF(B55=2,B46,B37)</f>
        <v>11535000</v>
      </c>
      <c r="D56" s="3" t="s">
        <v>266</v>
      </c>
    </row>
    <row r="57" customFormat="false" ht="42" hidden="false" customHeight="true" outlineLevel="0" collapsed="false">
      <c r="A57" s="60" t="s">
        <v>267</v>
      </c>
      <c r="B57" s="19" t="n">
        <f aca="false">B46-B37</f>
        <v>3250000</v>
      </c>
      <c r="D57" s="3" t="s">
        <v>268</v>
      </c>
    </row>
    <row r="58" customFormat="false" ht="15.75" hidden="false" customHeight="true" outlineLevel="0" collapsed="false">
      <c r="A58" s="6"/>
      <c r="B58" s="19"/>
      <c r="D58" s="3"/>
    </row>
    <row r="59" customFormat="false" ht="15.75" hidden="false" customHeight="true" outlineLevel="0" collapsed="false">
      <c r="A59" s="53" t="s">
        <v>269</v>
      </c>
      <c r="B59" s="61"/>
      <c r="C59" s="54"/>
      <c r="D59" s="59"/>
    </row>
    <row r="60" customFormat="false" ht="27.75" hidden="false" customHeight="true" outlineLevel="0" collapsed="false">
      <c r="A60" s="55" t="s">
        <v>270</v>
      </c>
      <c r="B60" s="55"/>
      <c r="C60" s="55"/>
      <c r="D60" s="55"/>
    </row>
    <row r="61" customFormat="false" ht="15.75" hidden="false" customHeight="true" outlineLevel="0" collapsed="false">
      <c r="A61" s="6" t="s">
        <v>271</v>
      </c>
      <c r="B61" s="19" t="n">
        <f aca="false">B20+B21+B19</f>
        <v>550000000</v>
      </c>
      <c r="D61" s="3" t="s">
        <v>272</v>
      </c>
    </row>
    <row r="62" customFormat="false" ht="15.75" hidden="false" customHeight="true" outlineLevel="0" collapsed="false">
      <c r="A62" s="6" t="s">
        <v>273</v>
      </c>
      <c r="B62" s="35" t="n">
        <f aca="false">(B20+B21+B19)*Assumptions!$B$47</f>
        <v>29888730.6352742</v>
      </c>
      <c r="D62" s="3" t="s">
        <v>274</v>
      </c>
    </row>
    <row r="63" customFormat="false" ht="42" hidden="false" customHeight="true" outlineLevel="0" collapsed="false">
      <c r="A63" s="60" t="s">
        <v>265</v>
      </c>
      <c r="B63" s="19" t="n">
        <f aca="false">B56</f>
        <v>11535000</v>
      </c>
      <c r="D63" s="3" t="s">
        <v>275</v>
      </c>
    </row>
    <row r="64" customFormat="false" ht="15.75" hidden="false" customHeight="true" outlineLevel="0" collapsed="false">
      <c r="A64" s="6" t="s">
        <v>276</v>
      </c>
      <c r="B64" s="57" t="n">
        <f aca="false">B62+B63</f>
        <v>41423730.6352742</v>
      </c>
      <c r="D64" s="3" t="s">
        <v>277</v>
      </c>
    </row>
    <row r="65" customFormat="false" ht="15.75" hidden="false" customHeight="true" outlineLevel="0" collapsed="false"/>
    <row r="66" customFormat="false" ht="54" hidden="false" customHeight="true" outlineLevel="0" collapsed="false">
      <c r="A66" s="55" t="s">
        <v>278</v>
      </c>
      <c r="B66" s="55"/>
      <c r="C66" s="55"/>
      <c r="D66" s="55"/>
    </row>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5">
    <mergeCell ref="A26:D26"/>
    <mergeCell ref="A40:D40"/>
    <mergeCell ref="A48:D48"/>
    <mergeCell ref="A60:D60"/>
    <mergeCell ref="A66:D6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100"/>
    <col collapsed="false" customWidth="true" hidden="false" outlineLevel="0" max="6" min="2" style="1" width="8.71"/>
  </cols>
  <sheetData>
    <row r="1" customFormat="false" ht="17.25" hidden="false" customHeight="true" outlineLevel="0" collapsed="false">
      <c r="A1" s="2" t="s">
        <v>279</v>
      </c>
    </row>
    <row r="2" customFormat="false" ht="15" hidden="false" customHeight="true" outlineLevel="0" collapsed="false"/>
    <row r="3" customFormat="false" ht="15" hidden="false" customHeight="true" outlineLevel="0" collapsed="false">
      <c r="A3" s="62" t="s">
        <v>280</v>
      </c>
    </row>
    <row r="4" customFormat="false" ht="55.5" hidden="false" customHeight="true" outlineLevel="0" collapsed="false">
      <c r="A4" s="63" t="s">
        <v>281</v>
      </c>
    </row>
    <row r="5" customFormat="false" ht="15" hidden="false" customHeight="true" outlineLevel="0" collapsed="false">
      <c r="A5" s="62" t="s">
        <v>282</v>
      </c>
    </row>
    <row r="6" customFormat="false" ht="84" hidden="false" customHeight="true" outlineLevel="0" collapsed="false">
      <c r="A6" s="63" t="s">
        <v>283</v>
      </c>
    </row>
    <row r="7" customFormat="false" ht="42" hidden="false" customHeight="true" outlineLevel="0" collapsed="false">
      <c r="A7" s="63" t="s">
        <v>284</v>
      </c>
    </row>
    <row r="8" customFormat="false" ht="15" hidden="false" customHeight="true" outlineLevel="0" collapsed="false">
      <c r="A8" s="62" t="s">
        <v>285</v>
      </c>
    </row>
    <row r="9" customFormat="false" ht="42" hidden="false" customHeight="true" outlineLevel="0" collapsed="false">
      <c r="A9" s="63" t="s">
        <v>286</v>
      </c>
    </row>
    <row r="10" customFormat="false" ht="27.75" hidden="false" customHeight="true" outlineLevel="0" collapsed="false">
      <c r="A10" s="63" t="s">
        <v>287</v>
      </c>
    </row>
    <row r="11" customFormat="false" ht="15" hidden="false" customHeight="true" outlineLevel="0" collapsed="false">
      <c r="A11" s="62" t="s">
        <v>288</v>
      </c>
    </row>
    <row r="12" customFormat="false" ht="55.5" hidden="false" customHeight="true" outlineLevel="0" collapsed="false">
      <c r="A12" s="63" t="s">
        <v>289</v>
      </c>
    </row>
    <row r="13" customFormat="false" ht="15" hidden="false" customHeight="true" outlineLevel="0" collapsed="false">
      <c r="A13" s="62" t="s">
        <v>290</v>
      </c>
    </row>
    <row r="14" customFormat="false" ht="97.5" hidden="false" customHeight="true" outlineLevel="0" collapsed="false">
      <c r="A14" s="63" t="s">
        <v>291</v>
      </c>
    </row>
    <row r="15" customFormat="false" ht="15" hidden="false" customHeight="true" outlineLevel="0" collapsed="false">
      <c r="A15" s="62" t="s">
        <v>292</v>
      </c>
    </row>
    <row r="16" customFormat="false" ht="42" hidden="false" customHeight="true" outlineLevel="0" collapsed="false">
      <c r="A16" s="63" t="s">
        <v>293</v>
      </c>
    </row>
    <row r="17" customFormat="false" ht="15" hidden="false" customHeight="true" outlineLevel="0" collapsed="false">
      <c r="A17" s="62" t="s">
        <v>294</v>
      </c>
    </row>
    <row r="18" customFormat="false" ht="55.5" hidden="false" customHeight="true" outlineLevel="0" collapsed="false">
      <c r="A18" s="63" t="s">
        <v>295</v>
      </c>
    </row>
    <row r="19" customFormat="false" ht="27.75" hidden="false" customHeight="true" outlineLevel="0" collapsed="false">
      <c r="A19" s="63" t="s">
        <v>296</v>
      </c>
    </row>
    <row r="20" customFormat="false" ht="1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1" min="1" style="1" width="26"/>
    <col collapsed="false" customWidth="true" hidden="false" outlineLevel="0" max="21" min="2" style="1" width="8.71"/>
    <col collapsed="false" customWidth="true" hidden="false" outlineLevel="0" max="22" min="22" style="1" width="10"/>
    <col collapsed="false" customWidth="true" hidden="false" outlineLevel="0" max="23" min="23" style="1" width="60"/>
    <col collapsed="false" customWidth="true" hidden="false" outlineLevel="0" max="26" min="24" style="1" width="8.71"/>
  </cols>
  <sheetData>
    <row r="1" customFormat="false" ht="15.75" hidden="false" customHeight="true" outlineLevel="0" collapsed="false">
      <c r="A1" s="64" t="s">
        <v>297</v>
      </c>
    </row>
    <row r="2" customFormat="false" ht="15" hidden="false" customHeight="true" outlineLevel="0" collapsed="false">
      <c r="A2" s="65" t="s">
        <v>298</v>
      </c>
    </row>
    <row r="4" customFormat="false" ht="15" hidden="false" customHeight="true" outlineLevel="0" collapsed="false">
      <c r="A4" s="25" t="s">
        <v>299</v>
      </c>
      <c r="B4" s="66" t="n">
        <v>2021</v>
      </c>
      <c r="C4" s="66" t="n">
        <v>2022</v>
      </c>
      <c r="D4" s="66" t="n">
        <v>2023</v>
      </c>
      <c r="E4" s="66" t="n">
        <v>2024</v>
      </c>
      <c r="F4" s="66" t="n">
        <v>2025</v>
      </c>
      <c r="G4" s="66" t="n">
        <v>2026</v>
      </c>
      <c r="H4" s="66" t="n">
        <v>2027</v>
      </c>
      <c r="I4" s="66" t="n">
        <v>2028</v>
      </c>
      <c r="J4" s="66" t="n">
        <v>2029</v>
      </c>
      <c r="K4" s="66" t="n">
        <v>2030</v>
      </c>
      <c r="L4" s="66" t="n">
        <v>2031</v>
      </c>
      <c r="M4" s="66" t="n">
        <v>2032</v>
      </c>
      <c r="N4" s="66" t="n">
        <v>2033</v>
      </c>
      <c r="O4" s="66" t="n">
        <v>2034</v>
      </c>
      <c r="P4" s="66" t="n">
        <v>2035</v>
      </c>
      <c r="Q4" s="66" t="n">
        <v>2036</v>
      </c>
      <c r="R4" s="66" t="n">
        <v>2037</v>
      </c>
      <c r="S4" s="66" t="n">
        <v>2038</v>
      </c>
      <c r="T4" s="66" t="n">
        <v>2039</v>
      </c>
      <c r="U4" s="66" t="n">
        <v>2040</v>
      </c>
      <c r="V4" s="25" t="s">
        <v>300</v>
      </c>
      <c r="W4" s="25" t="s">
        <v>301</v>
      </c>
    </row>
    <row r="5" customFormat="false" ht="15" hidden="false" customHeight="true" outlineLevel="0" collapsed="false">
      <c r="A5" s="25" t="s">
        <v>302</v>
      </c>
      <c r="B5" s="27" t="n">
        <v>45480</v>
      </c>
      <c r="C5" s="27" t="n">
        <v>46356</v>
      </c>
      <c r="D5" s="27" t="n">
        <v>47248</v>
      </c>
      <c r="E5" s="27" t="n">
        <v>48158</v>
      </c>
      <c r="F5" s="27" t="n">
        <v>49085</v>
      </c>
      <c r="G5" s="27" t="n">
        <v>50030</v>
      </c>
      <c r="H5" s="27" t="n">
        <v>50993</v>
      </c>
      <c r="I5" s="27" t="n">
        <v>51975</v>
      </c>
      <c r="J5" s="27" t="n">
        <v>52976</v>
      </c>
      <c r="K5" s="27" t="n">
        <v>53996</v>
      </c>
      <c r="L5" s="27" t="n">
        <v>55035</v>
      </c>
      <c r="M5" s="27" t="n">
        <v>56095</v>
      </c>
      <c r="N5" s="27" t="n">
        <v>57175</v>
      </c>
      <c r="O5" s="27" t="n">
        <v>58276</v>
      </c>
      <c r="P5" s="27" t="n">
        <v>59398</v>
      </c>
      <c r="Q5" s="27" t="n">
        <v>60541</v>
      </c>
      <c r="R5" s="27" t="n">
        <v>61707</v>
      </c>
      <c r="S5" s="27" t="n">
        <v>62895</v>
      </c>
      <c r="T5" s="27" t="n">
        <v>64106</v>
      </c>
      <c r="U5" s="27" t="n">
        <v>65340</v>
      </c>
      <c r="V5" s="67" t="n">
        <v>1.93</v>
      </c>
      <c r="W5" s="68" t="s">
        <v>303</v>
      </c>
    </row>
    <row r="6" customFormat="false" ht="15" hidden="false" customHeight="true" outlineLevel="0" collapsed="false">
      <c r="A6" s="25" t="s">
        <v>304</v>
      </c>
      <c r="B6" s="27" t="n">
        <v>25470</v>
      </c>
      <c r="C6" s="27" t="n">
        <v>25912</v>
      </c>
      <c r="D6" s="27" t="n">
        <v>26362</v>
      </c>
      <c r="E6" s="27" t="n">
        <v>26820</v>
      </c>
      <c r="F6" s="27" t="n">
        <v>27286</v>
      </c>
      <c r="G6" s="27" t="n">
        <v>27760</v>
      </c>
      <c r="H6" s="27" t="n">
        <v>28242</v>
      </c>
      <c r="I6" s="27" t="n">
        <v>28732</v>
      </c>
      <c r="J6" s="27" t="n">
        <v>29231</v>
      </c>
      <c r="K6" s="27" t="n">
        <v>29738</v>
      </c>
      <c r="L6" s="27" t="n">
        <v>30255</v>
      </c>
      <c r="M6" s="27" t="n">
        <v>30780</v>
      </c>
      <c r="N6" s="27" t="n">
        <v>31315</v>
      </c>
      <c r="O6" s="27" t="n">
        <v>31858</v>
      </c>
      <c r="P6" s="27" t="n">
        <v>32412</v>
      </c>
      <c r="Q6" s="27" t="n">
        <v>32974</v>
      </c>
      <c r="R6" s="27" t="n">
        <v>33547</v>
      </c>
      <c r="S6" s="27" t="n">
        <v>34130</v>
      </c>
      <c r="T6" s="27" t="n">
        <v>34722</v>
      </c>
      <c r="U6" s="27" t="n">
        <v>35325</v>
      </c>
      <c r="V6" s="67" t="n">
        <v>1.74</v>
      </c>
      <c r="W6" s="68" t="s">
        <v>303</v>
      </c>
    </row>
    <row r="7" customFormat="false" ht="15" hidden="false" customHeight="true" outlineLevel="0" collapsed="false">
      <c r="A7" s="25" t="s">
        <v>305</v>
      </c>
      <c r="B7" s="27" t="n">
        <v>25480</v>
      </c>
      <c r="C7" s="27" t="n">
        <v>25824</v>
      </c>
      <c r="D7" s="27" t="n">
        <v>26172</v>
      </c>
      <c r="E7" s="27" t="n">
        <v>26525</v>
      </c>
      <c r="F7" s="27" t="n">
        <v>26883</v>
      </c>
      <c r="G7" s="27" t="n">
        <v>27246</v>
      </c>
      <c r="H7" s="27" t="n">
        <v>27614</v>
      </c>
      <c r="I7" s="27" t="n">
        <v>27986</v>
      </c>
      <c r="J7" s="27" t="n">
        <v>28364</v>
      </c>
      <c r="K7" s="27" t="n">
        <v>28746</v>
      </c>
      <c r="L7" s="27" t="n">
        <v>29134</v>
      </c>
      <c r="M7" s="27" t="n">
        <v>29527</v>
      </c>
      <c r="N7" s="27" t="n">
        <v>29926</v>
      </c>
      <c r="O7" s="27" t="n">
        <v>30329</v>
      </c>
      <c r="P7" s="27" t="n">
        <v>30739</v>
      </c>
      <c r="Q7" s="27" t="n">
        <v>31153</v>
      </c>
      <c r="R7" s="27" t="n">
        <v>31574</v>
      </c>
      <c r="S7" s="27" t="n">
        <v>32000</v>
      </c>
      <c r="T7" s="27" t="n">
        <v>32431</v>
      </c>
      <c r="U7" s="27" t="n">
        <v>32869</v>
      </c>
      <c r="V7" s="67" t="n">
        <v>1.35</v>
      </c>
      <c r="W7" s="68" t="s">
        <v>303</v>
      </c>
    </row>
    <row r="8" customFormat="false" ht="15" hidden="false" customHeight="true" outlineLevel="0" collapsed="false">
      <c r="A8" s="25" t="s">
        <v>306</v>
      </c>
      <c r="B8" s="27" t="n">
        <v>15220</v>
      </c>
      <c r="C8" s="27" t="n">
        <v>15404</v>
      </c>
      <c r="D8" s="27" t="n">
        <v>15590</v>
      </c>
      <c r="E8" s="27" t="n">
        <v>15778</v>
      </c>
      <c r="F8" s="27" t="n">
        <v>15969</v>
      </c>
      <c r="G8" s="27" t="n">
        <v>16162</v>
      </c>
      <c r="H8" s="27" t="n">
        <v>16357</v>
      </c>
      <c r="I8" s="27" t="n">
        <v>16555</v>
      </c>
      <c r="J8" s="27" t="n">
        <v>16755</v>
      </c>
      <c r="K8" s="27" t="n">
        <v>16957</v>
      </c>
      <c r="L8" s="27" t="n">
        <v>17162</v>
      </c>
      <c r="M8" s="27" t="n">
        <v>17369</v>
      </c>
      <c r="N8" s="27" t="n">
        <v>17579</v>
      </c>
      <c r="O8" s="27" t="n">
        <v>17791</v>
      </c>
      <c r="P8" s="27" t="n">
        <v>18006</v>
      </c>
      <c r="Q8" s="27" t="n">
        <v>18224</v>
      </c>
      <c r="R8" s="27" t="n">
        <v>18444</v>
      </c>
      <c r="S8" s="27" t="n">
        <v>18667</v>
      </c>
      <c r="T8" s="27" t="n">
        <v>18892</v>
      </c>
      <c r="U8" s="27" t="n">
        <v>19120</v>
      </c>
      <c r="V8" s="67" t="n">
        <v>1.21</v>
      </c>
      <c r="W8" s="68" t="s">
        <v>303</v>
      </c>
    </row>
    <row r="9" customFormat="false" ht="15" hidden="false" customHeight="true" outlineLevel="0" collapsed="false">
      <c r="A9" s="25" t="s">
        <v>307</v>
      </c>
      <c r="B9" s="27" t="n">
        <v>9390</v>
      </c>
      <c r="C9" s="27" t="n">
        <v>9592</v>
      </c>
      <c r="D9" s="27" t="n">
        <v>9799</v>
      </c>
      <c r="E9" s="27" t="n">
        <v>10010</v>
      </c>
      <c r="F9" s="27" t="n">
        <v>10226</v>
      </c>
      <c r="G9" s="27" t="n">
        <v>10446</v>
      </c>
      <c r="H9" s="27" t="n">
        <v>10671</v>
      </c>
      <c r="I9" s="27" t="n">
        <v>10901</v>
      </c>
      <c r="J9" s="27" t="n">
        <v>11136</v>
      </c>
      <c r="K9" s="27" t="n">
        <v>11376</v>
      </c>
      <c r="L9" s="27" t="n">
        <v>11621</v>
      </c>
      <c r="M9" s="27" t="n">
        <v>11871</v>
      </c>
      <c r="N9" s="27" t="n">
        <v>12127</v>
      </c>
      <c r="O9" s="27" t="n">
        <v>12389</v>
      </c>
      <c r="P9" s="27" t="n">
        <v>12656</v>
      </c>
      <c r="Q9" s="27" t="n">
        <v>12928</v>
      </c>
      <c r="R9" s="27" t="n">
        <v>13207</v>
      </c>
      <c r="S9" s="27" t="n">
        <v>13491</v>
      </c>
      <c r="T9" s="27" t="n">
        <v>13782</v>
      </c>
      <c r="U9" s="27" t="n">
        <v>14079</v>
      </c>
      <c r="V9" s="67" t="n">
        <v>2.15</v>
      </c>
      <c r="W9" s="68" t="s">
        <v>308</v>
      </c>
    </row>
    <row r="10" customFormat="false" ht="15" hidden="false" customHeight="true" outlineLevel="0" collapsed="false">
      <c r="A10" s="25" t="s">
        <v>309</v>
      </c>
      <c r="B10" s="69" t="n">
        <f aca="false">SUM(B5:B9)</f>
        <v>121040</v>
      </c>
      <c r="C10" s="69" t="n">
        <f aca="false">SUM(C5:C9)</f>
        <v>123088</v>
      </c>
      <c r="D10" s="69" t="n">
        <f aca="false">SUM(D5:D9)</f>
        <v>125171</v>
      </c>
      <c r="E10" s="69" t="n">
        <f aca="false">SUM(E5:E9)</f>
        <v>127291</v>
      </c>
      <c r="F10" s="69" t="n">
        <f aca="false">SUM(F5:F9)</f>
        <v>129449</v>
      </c>
      <c r="G10" s="69" t="n">
        <f aca="false">SUM(G5:G9)</f>
        <v>131644</v>
      </c>
      <c r="H10" s="69" t="n">
        <f aca="false">SUM(H5:H9)</f>
        <v>133877</v>
      </c>
      <c r="I10" s="69" t="n">
        <f aca="false">SUM(I5:I9)</f>
        <v>136149</v>
      </c>
      <c r="J10" s="69" t="n">
        <f aca="false">SUM(J5:J9)</f>
        <v>138462</v>
      </c>
      <c r="K10" s="69" t="n">
        <f aca="false">SUM(K5:K9)</f>
        <v>140813</v>
      </c>
      <c r="L10" s="69" t="n">
        <f aca="false">SUM(L5:L9)</f>
        <v>143207</v>
      </c>
      <c r="M10" s="69" t="n">
        <f aca="false">SUM(M5:M9)</f>
        <v>145642</v>
      </c>
      <c r="N10" s="69" t="n">
        <f aca="false">SUM(N5:N9)</f>
        <v>148122</v>
      </c>
      <c r="O10" s="69" t="n">
        <f aca="false">SUM(O5:O9)</f>
        <v>150643</v>
      </c>
      <c r="P10" s="69" t="n">
        <f aca="false">SUM(P5:P9)</f>
        <v>153211</v>
      </c>
      <c r="Q10" s="69" t="n">
        <f aca="false">SUM(Q5:Q9)</f>
        <v>155820</v>
      </c>
      <c r="R10" s="69" t="n">
        <f aca="false">SUM(R5:R9)</f>
        <v>158479</v>
      </c>
      <c r="S10" s="69" t="n">
        <f aca="false">SUM(S5:S9)</f>
        <v>161183</v>
      </c>
      <c r="T10" s="69" t="n">
        <f aca="false">SUM(T5:T9)</f>
        <v>163933</v>
      </c>
      <c r="U10" s="69" t="n">
        <f aca="false">SUM(U5:U9)</f>
        <v>166733</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578125" defaultRowHeight="15" zeroHeight="false" outlineLevelRow="0" outlineLevelCol="0"/>
  <cols>
    <col collapsed="false" customWidth="true" hidden="false" outlineLevel="0" max="26" min="1" style="1" width="8.71"/>
  </cols>
  <sheetData>
    <row r="1" customFormat="false" ht="16.5" hidden="false" customHeight="true" outlineLevel="0" collapsed="false">
      <c r="A1" s="70" t="s">
        <v>310</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2026-08-05T13:41:02Z</dcterms:created>
  <dc:creator>openpyxl</dc:creator>
  <dc:description/>
  <dc:language>en-US</dc:language>
  <cp:lastModifiedBy/>
  <dcterms:modified xsi:type="dcterms:W3CDTF">2026-08-06T13:31:40Z</dcterms:modified>
  <cp:revision>13</cp:revision>
  <dc:subject/>
  <dc:title/>
</cp:coreProperties>
</file>

<file path=docProps/custom.xml><?xml version="1.0" encoding="utf-8"?>
<Properties xmlns="http://schemas.openxmlformats.org/officeDocument/2006/custom-properties" xmlns:vt="http://schemas.openxmlformats.org/officeDocument/2006/docPropsVTypes"/>
</file>